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wh9ahxOZmRDBu98m8Dkb4Au1ofajcBzqzerBxPiadPX51S+HrKRZf3po4hpvY2S+bb+rZ8tCW44VF3aX1lDKQ==" workbookSaltValue="Oc4JuhfNvYzTDMlJOHQS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G20" i="7"/>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D21" i="12"/>
  <c r="Q21" i="17"/>
  <c r="AQ21" i="17" l="1"/>
  <c r="CB17" i="16"/>
  <c r="CB10" i="16"/>
  <c r="CB11" i="16"/>
  <c r="CC18" i="16"/>
  <c r="CB18" i="16"/>
  <c r="CC10" i="16"/>
  <c r="CB12" i="16"/>
  <c r="CC16" i="16"/>
  <c r="CB16" i="16"/>
  <c r="CC12" i="16"/>
  <c r="CC9" i="16"/>
  <c r="CC17" i="16"/>
  <c r="CB15" i="16"/>
  <c r="CC15" i="16"/>
  <c r="CB9"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<sst xmlns="http://schemas.openxmlformats.org/spreadsheetml/2006/main" count="2513" uniqueCount="1025">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</sst>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UrzXKrUbA21XiXs3N0zvLnPqlv5E5pAEhMQFXB4wLX8NO/CoZkIa6604yykhYx7NZBPtGAw5UkA0LLHjvrPlQ==" saltValue="trkxesmnVFABFA4r5XOke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27.319829957489372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132</v>
      </c>
      <c r="D10" s="224">
        <f>IF(ISNUMBER(Datos!I10),Datos!I10," - ")</f>
        <v>132</v>
      </c>
      <c r="E10" s="225">
        <f>IF(ISNUMBER(Datos!J10),Datos!J10," - ")</f>
        <v>58</v>
      </c>
      <c r="F10" s="225">
        <f>IF(ISNUMBER(Datos!K10),Datos!K10," - ")</f>
        <v>55</v>
      </c>
      <c r="G10" s="1029" t="str">
        <f>IF(Datos!E10&lt;&gt;"",Datos!E10,Datos!D10)</f>
        <v>37</v>
      </c>
      <c r="H10" s="226">
        <f>IF(ISNUMBER(Datos!L10),Datos!L10," - ")</f>
        <v>135</v>
      </c>
      <c r="I10" s="1039" t="str">
        <f>IF(ISNUMBER(Datos!AS10/Datos!BM10),Datos!AS10/Datos!BM10," - ")</f>
        <v xml:space="preserve"> - </v>
      </c>
      <c r="J10" s="1040">
        <f>IF(ISNUMBER(Datos!BY10/Datos!CN10),Datos!BY10/Datos!CN10," - ")</f>
        <v>0</v>
      </c>
      <c r="K10" s="229">
        <f t="shared" ref="K10:K12" si="1">IF(ISNUMBER((E10-F10)/C10),(E10-F10)/C10," - ")</f>
        <v>2.2727272727272728E-2</v>
      </c>
      <c r="L10" s="1020">
        <f>IF(ISNUMBER(NºAsuntos!I10/NºAsuntos!G10),(NºAsuntos!I10/NºAsuntos!G10)*11," - ")</f>
        <v>27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15.143558282208589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132</v>
      </c>
      <c r="D13" s="1044">
        <f>SUBTOTAL(9,D9:D12)</f>
        <v>132</v>
      </c>
      <c r="E13" s="1045">
        <f>SUBTOTAL(9,E9:E12)</f>
        <v>58</v>
      </c>
      <c r="F13" s="1046">
        <f>SUBTOTAL(9,F9:F12)</f>
        <v>55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2450</v>
      </c>
      <c r="D15" s="224">
        <f>IF(ISNUMBER(IF(D_I="SI",Datos!I15,Datos!I15+Datos!AC15)),IF(D_I="SI",Datos!I15,Datos!I15+Datos!AC15)," - ")</f>
        <v>2390</v>
      </c>
      <c r="E15" s="225">
        <f>IF(ISNUMBER(IF(D_I="SI",Datos!J15,Datos!J15+Datos!AD15)),IF(D_I="SI",Datos!J15,Datos!J15+Datos!AD15)," - ")</f>
        <v>3122</v>
      </c>
      <c r="F15" s="225">
        <f>IF(ISNUMBER(IF(D_I="SI",Datos!K15,Datos!K15+Datos!AE15)),IF(D_I="SI",Datos!K15,Datos!K15+Datos!AE15)," - ")</f>
        <v>3199</v>
      </c>
      <c r="G15" s="1029" t="str">
        <f>IF(Datos!E15&lt;&gt;"",Datos!E15,Datos!D15)</f>
        <v>03</v>
      </c>
      <c r="H15" s="226">
        <f>IF(ISNUMBER(IF(D_I="SI",Datos!L15,Datos!L15+Datos!AF15)),IF(D_I="SI",Datos!L15,Datos!L15+Datos!AF15)," - ")</f>
        <v>2373</v>
      </c>
      <c r="I15" s="1039" t="str">
        <f>IF(ISNUMBER(Datos!AS15/Datos!BM15),Datos!AS15/Datos!BM15," - ")</f>
        <v xml:space="preserve"> - </v>
      </c>
      <c r="J15" s="1040">
        <f>IF(ISNUMBER(Datos!BY15/Datos!CN15),Datos!BY15/Datos!CN15," - ")</f>
        <v>0</v>
      </c>
      <c r="K15" s="229">
        <f t="shared" ref="K15:K18" si="3">IF(ISNUMBER((E15-F15)/C15),(E15-F15)/C15," - ")</f>
        <v>-3.1428571428571431E-2</v>
      </c>
      <c r="L15" s="1020">
        <f>IF(ISNUMBER(NºAsuntos!I15/NºAsuntos!G15),(NºAsuntos!I15/NºAsuntos!G15)*11," - ")</f>
        <v>8.1597374179431075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356</v>
      </c>
      <c r="D18" s="224">
        <f>IF(ISNUMBER(IF(D_I="SI",Datos!I18,Datos!I18+Datos!AC18)),IF(D_I="SI",Datos!I18,Datos!I18+Datos!AC18)," - ")</f>
        <v>367</v>
      </c>
      <c r="E18" s="225">
        <f>IF(ISNUMBER(IF(D_I="SI",Datos!J18,Datos!J18+Datos!AD18)),IF(D_I="SI",Datos!J18,Datos!J18+Datos!AD18)," - ")</f>
        <v>609</v>
      </c>
      <c r="F18" s="225">
        <f>IF(ISNUMBER(IF(D_I="SI",Datos!K18,Datos!K18+Datos!AE18)),IF(D_I="SI",Datos!K18,Datos!K18+Datos!AE18)," - ")</f>
        <v>557</v>
      </c>
      <c r="G18" s="1029" t="str">
        <f>IF(Datos!E18&lt;&gt;"",Datos!E18,Datos!D18)</f>
        <v>37</v>
      </c>
      <c r="H18" s="226">
        <f>IF(ISNUMBER(IF(D_I="SI",Datos!L18,Datos!L18+Datos!AF18)),IF(D_I="SI",Datos!L18,Datos!L18+Datos!AF18)," - ")</f>
        <v>408</v>
      </c>
      <c r="I18" s="1039" t="str">
        <f>IF(ISNUMBER(Datos!AS18/Datos!BM18),Datos!AS18/Datos!BM18," - ")</f>
        <v xml:space="preserve"> - </v>
      </c>
      <c r="J18" s="1040" t="str">
        <f>IF(ISNUMBER((Datos!BY18+Datos!BZ18)/Datos!CN18),(Datos!BY18+Datos!BZ18)/Datos!CN18," - ")</f>
        <v xml:space="preserve"> - </v>
      </c>
      <c r="K18" s="229">
        <f t="shared" si="3"/>
        <v>0.14606741573033707</v>
      </c>
      <c r="L18" s="1020">
        <f>IF(ISNUMBER(NºAsuntos!I18/NºAsuntos!G18),(NºAsuntos!I18/NºAsuntos!G18)*11," - ")</f>
        <v>8.0574506283662473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2806</v>
      </c>
      <c r="D19" s="1044">
        <f>SUBTOTAL(9,D15:D18)</f>
        <v>2757</v>
      </c>
      <c r="E19" s="1045">
        <f>SUBTOTAL(9,E15:E18)</f>
        <v>3731</v>
      </c>
      <c r="F19" s="1045">
        <f>SUBTOTAL(9,F15:F18)</f>
        <v>3756</v>
      </c>
      <c r="G19" s="1047" t="str">
        <f ca="1">INDIRECT(CONCATENATE("G",ROW()-1))</f>
        <v>37</v>
      </c>
      <c r="H19" s="1048">
        <f ca="1">SUMIF(G$14:G18,G19,H$14:H18)</f>
        <v>408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2938</v>
      </c>
      <c r="D20" s="1066">
        <f>SUBTOTAL(9,D9:D19)</f>
        <v>2889</v>
      </c>
      <c r="E20" s="1067">
        <f>SUBTOTAL(9,E9:E19)</f>
        <v>3789</v>
      </c>
      <c r="F20" s="1067">
        <f>SUBTOTAL(9,F9:F19)</f>
        <v>3811</v>
      </c>
      <c r="G20" s="1068"/>
      <c r="H20" s="1069">
        <f ca="1">SUMIF(B9:B19,"TOTAL",H9:H19)</f>
        <v>408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V8xMRdCwMFdEDsRxwZYuWHbtIG2w2YcVJ21rVRwEyXu9nWika/tUCJ+q9IG+pjPAyNDcKsiL+AjlvtqVu22qw==" saltValue="2aTYaOSflJRcrMZmWQZyU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nzWyudEPWfdyVs1ueT+uRt8+EvfehWQfXj5nDaIv98i+rz5MJ95sklvXsj8DKsbUVQSzs1/asWH8nPYSuEuVQ==" saltValue="jiAReW0IuZRHkJqc9Lqv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10724</v>
      </c>
      <c r="J9" s="180">
        <v>2997</v>
      </c>
      <c r="K9" s="180">
        <v>3882</v>
      </c>
      <c r="L9" s="180">
        <v>9786</v>
      </c>
      <c r="M9" s="180">
        <v>964</v>
      </c>
      <c r="N9" s="180">
        <v>1966</v>
      </c>
      <c r="O9" s="180">
        <v>1321</v>
      </c>
      <c r="P9" s="180">
        <v>686</v>
      </c>
      <c r="Q9" s="180">
        <v>1081</v>
      </c>
      <c r="R9" s="180">
        <v>14887</v>
      </c>
      <c r="S9" s="180">
        <v>11595</v>
      </c>
      <c r="T9" s="180">
        <v>6676</v>
      </c>
      <c r="U9" s="180">
        <v>5972</v>
      </c>
      <c r="V9" s="180">
        <v>12299</v>
      </c>
      <c r="W9" s="180">
        <v>1118</v>
      </c>
      <c r="X9" s="187">
        <v>3649</v>
      </c>
      <c r="Y9" s="190">
        <v>151</v>
      </c>
      <c r="Z9" s="180">
        <v>112</v>
      </c>
      <c r="AA9" s="180">
        <v>117</v>
      </c>
      <c r="AB9" s="180">
        <v>146</v>
      </c>
      <c r="AC9" s="180">
        <v>0</v>
      </c>
      <c r="AD9" s="180">
        <v>0</v>
      </c>
      <c r="AE9" s="180">
        <v>0</v>
      </c>
      <c r="AF9" s="187">
        <v>0</v>
      </c>
      <c r="AG9" s="190">
        <v>116</v>
      </c>
      <c r="AH9" s="180">
        <v>84</v>
      </c>
      <c r="AI9" s="180">
        <v>92</v>
      </c>
      <c r="AJ9" s="191">
        <v>108</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11711</v>
      </c>
      <c r="AZ9" s="123">
        <f>IF(ISNUMBER(IF(J_V="SI",T9,T9+AH9)),IF(J_V="SI",T9,T9+AH9)," - ")</f>
        <v>6760</v>
      </c>
      <c r="BA9" s="124">
        <f>IF(ISNUMBER(IF(J_V="SI",U9,U9+AI9)),IF(J_V="SI",U9,U9+AI9)," - ")</f>
        <v>6064</v>
      </c>
      <c r="BB9" s="124">
        <f>IF(ISNUMBER(IF(J_V="SI",V9,V9+AJ9)),IF(J_V="SI",V9,V9+AJ9)," - ")</f>
        <v>12407</v>
      </c>
      <c r="BC9" s="125">
        <f>IF(ISNUMBER(X9),X9," - ")</f>
        <v>3649</v>
      </c>
      <c r="BD9" s="126">
        <f>IF(ISNUMBER(BA9/AZ9),BA9/AZ9," - ")</f>
        <v>0.8970414201183432</v>
      </c>
      <c r="BE9" s="127">
        <f>IF(ISNUMBER(BB9/BA9),BB9/BA9, " - ")</f>
        <v>2.0460092348284959</v>
      </c>
      <c r="BF9" s="127">
        <f>IF(ISNUMBER(BC9/BA9),BC9/BA9, " - ")</f>
        <v>0.60174802110817938</v>
      </c>
      <c r="BG9" s="195">
        <f>IF(ISNUMBER((AY9+AZ9)/BA9),(AY9+AZ9)/BA9," - ")</f>
        <v>3.0460092348284959</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132</v>
      </c>
      <c r="J10" s="180">
        <v>58</v>
      </c>
      <c r="K10" s="180">
        <v>55</v>
      </c>
      <c r="L10" s="180">
        <v>135</v>
      </c>
      <c r="M10" s="180">
        <v>20</v>
      </c>
      <c r="N10" s="180">
        <v>21</v>
      </c>
      <c r="O10" s="180">
        <v>12</v>
      </c>
      <c r="P10" s="180">
        <v>11</v>
      </c>
      <c r="Q10" s="180">
        <v>5</v>
      </c>
      <c r="R10" s="180">
        <v>125</v>
      </c>
      <c r="S10" s="180">
        <v>102</v>
      </c>
      <c r="T10" s="180">
        <v>53</v>
      </c>
      <c r="U10" s="180">
        <v>66</v>
      </c>
      <c r="V10" s="180">
        <v>89</v>
      </c>
      <c r="W10" s="180">
        <v>21</v>
      </c>
      <c r="X10" s="187">
        <v>38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102</v>
      </c>
      <c r="AZ10" s="129">
        <f t="shared" si="0"/>
        <v>53</v>
      </c>
      <c r="BA10" s="129">
        <f t="shared" si="0"/>
        <v>66</v>
      </c>
      <c r="BB10" s="129">
        <f t="shared" si="0"/>
        <v>89</v>
      </c>
      <c r="BC10" s="125">
        <f t="shared" si="0"/>
        <v>21</v>
      </c>
      <c r="BD10" s="126">
        <f>IF(ISNUMBER(BA10/AZ10),BA10/AZ10," - ")</f>
        <v>1.2452830188679245</v>
      </c>
      <c r="BE10" s="127">
        <f>IF(ISNUMBER(BB10/BA10),BB10/BA10, " - ")</f>
        <v>1.3484848484848484</v>
      </c>
      <c r="BF10" s="127">
        <f>IF(ISNUMBER(BC10/BA10),BC10/BA10, " - ")</f>
        <v>0.31818181818181818</v>
      </c>
      <c r="BG10" s="195">
        <f>IF(ISNUMBER((AY10+AZ10)/BA10),(AY10+AZ10)/BA10," - ")</f>
        <v>2.3484848484848486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824</v>
      </c>
      <c r="J11" s="182">
        <v>373</v>
      </c>
      <c r="K11" s="182">
        <v>453</v>
      </c>
      <c r="L11" s="182">
        <v>698</v>
      </c>
      <c r="M11" s="182">
        <v>195</v>
      </c>
      <c r="N11" s="182">
        <v>500</v>
      </c>
      <c r="O11" s="180">
        <v>241</v>
      </c>
      <c r="P11" s="182">
        <v>64</v>
      </c>
      <c r="Q11" s="182">
        <v>123</v>
      </c>
      <c r="R11" s="182">
        <v>1141</v>
      </c>
      <c r="S11" s="182">
        <v>964</v>
      </c>
      <c r="T11" s="182">
        <v>488</v>
      </c>
      <c r="U11" s="182">
        <v>505</v>
      </c>
      <c r="V11" s="182">
        <v>947</v>
      </c>
      <c r="W11" s="182">
        <v>237</v>
      </c>
      <c r="X11" s="188">
        <v>561</v>
      </c>
      <c r="Y11" s="190">
        <v>422</v>
      </c>
      <c r="Z11" s="180">
        <v>364</v>
      </c>
      <c r="AA11" s="180">
        <v>362</v>
      </c>
      <c r="AB11" s="180">
        <v>424</v>
      </c>
      <c r="AC11" s="182">
        <v>0</v>
      </c>
      <c r="AD11" s="182">
        <v>0</v>
      </c>
      <c r="AE11" s="182">
        <v>0</v>
      </c>
      <c r="AF11" s="188">
        <v>0</v>
      </c>
      <c r="AG11" s="201">
        <v>379</v>
      </c>
      <c r="AH11" s="182">
        <v>388</v>
      </c>
      <c r="AI11" s="182">
        <v>355</v>
      </c>
      <c r="AJ11" s="202">
        <v>412</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1343</v>
      </c>
      <c r="AZ11" s="127">
        <f t="shared" si="1"/>
        <v>876</v>
      </c>
      <c r="BA11" s="127">
        <f t="shared" si="1"/>
        <v>860</v>
      </c>
      <c r="BB11" s="127">
        <f t="shared" si="1"/>
        <v>1359</v>
      </c>
      <c r="BC11" s="125">
        <f>IF(ISNUMBER(X11),X11," - ")</f>
        <v>561</v>
      </c>
      <c r="BD11" s="126">
        <f t="shared" ref="BD11:BD12" si="2">IF(ISNUMBER(BA11/AZ11),BA11/AZ11," - ")</f>
        <v>0.9817351598173516</v>
      </c>
      <c r="BE11" s="127">
        <f t="shared" ref="BE11:BE12" si="3">IF(ISNUMBER(BB11/BA11),BB11/BA11, " - ")</f>
        <v>1.5802325581395349</v>
      </c>
      <c r="BF11" s="127">
        <f t="shared" ref="BF11:BF12" si="4">IF(ISNUMBER(BC11/BA11),BC11/BA11, " - ")</f>
        <v>0.6523255813953488</v>
      </c>
      <c r="BG11" s="195">
        <f t="shared" ref="BG11:BG12" si="5">IF(ISNUMBER((AY11+AZ11)/BA11),(AY11+AZ11)/BA11," - ")</f>
        <v>2.5802325581395347</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11680</v>
      </c>
      <c r="J13" s="183">
        <f t="shared" si="6"/>
        <v>3428</v>
      </c>
      <c r="K13" s="183">
        <f t="shared" si="6"/>
        <v>4390</v>
      </c>
      <c r="L13" s="183">
        <f t="shared" si="6"/>
        <v>10619</v>
      </c>
      <c r="M13" s="183">
        <f t="shared" si="6"/>
        <v>1179</v>
      </c>
      <c r="N13" s="183">
        <f t="shared" si="6"/>
        <v>2487</v>
      </c>
      <c r="O13" s="183">
        <f t="shared" si="6"/>
        <v>1574</v>
      </c>
      <c r="P13" s="183">
        <f t="shared" si="6"/>
        <v>761</v>
      </c>
      <c r="Q13" s="183">
        <f t="shared" si="6"/>
        <v>1209</v>
      </c>
      <c r="R13" s="183">
        <f t="shared" si="6"/>
        <v>16153</v>
      </c>
      <c r="S13" s="183">
        <f t="shared" si="6"/>
        <v>12661</v>
      </c>
      <c r="T13" s="183">
        <f t="shared" si="6"/>
        <v>7217</v>
      </c>
      <c r="U13" s="183">
        <f t="shared" si="6"/>
        <v>6543</v>
      </c>
      <c r="V13" s="183">
        <f t="shared" si="6"/>
        <v>13335</v>
      </c>
      <c r="W13" s="183">
        <f t="shared" si="6"/>
        <v>1376</v>
      </c>
      <c r="X13" s="183">
        <f t="shared" si="6"/>
        <v>4248</v>
      </c>
      <c r="Y13" s="183">
        <f t="shared" si="6"/>
        <v>573</v>
      </c>
      <c r="Z13" s="183">
        <f t="shared" si="6"/>
        <v>476</v>
      </c>
      <c r="AA13" s="183">
        <f t="shared" si="6"/>
        <v>479</v>
      </c>
      <c r="AB13" s="183">
        <f t="shared" si="6"/>
        <v>570</v>
      </c>
      <c r="AC13" s="183">
        <f t="shared" si="6"/>
        <v>0</v>
      </c>
      <c r="AD13" s="183">
        <f t="shared" si="6"/>
        <v>0</v>
      </c>
      <c r="AE13" s="183">
        <f t="shared" si="6"/>
        <v>0</v>
      </c>
      <c r="AF13" s="183">
        <f>SUBTOTAL(9,AF9:AF12)</f>
        <v>0</v>
      </c>
      <c r="AG13" s="183">
        <f t="shared" ref="AG13:AT13" si="7">SUBTOTAL(9,AG8:AG12)</f>
        <v>495</v>
      </c>
      <c r="AH13" s="183">
        <f t="shared" si="7"/>
        <v>472</v>
      </c>
      <c r="AI13" s="183">
        <f t="shared" si="7"/>
        <v>447</v>
      </c>
      <c r="AJ13" s="183">
        <f t="shared" si="7"/>
        <v>520</v>
      </c>
      <c r="AK13" s="183">
        <f t="shared" si="7"/>
        <v>0</v>
      </c>
      <c r="AL13" s="183">
        <f t="shared" si="7"/>
        <v>0</v>
      </c>
      <c r="AM13" s="183">
        <f t="shared" si="7"/>
        <v>0</v>
      </c>
      <c r="AN13" s="183">
        <f t="shared" si="7"/>
        <v>0</v>
      </c>
      <c r="AO13" s="183">
        <f t="shared" si="7"/>
        <v>12</v>
      </c>
      <c r="AP13" s="183">
        <f t="shared" si="7"/>
        <v>12</v>
      </c>
      <c r="AQ13" s="183">
        <f t="shared" si="7"/>
        <v>11</v>
      </c>
      <c r="AR13" s="183">
        <f t="shared" si="7"/>
        <v>11</v>
      </c>
      <c r="AS13" s="183">
        <f t="shared" si="7"/>
        <v>0</v>
      </c>
      <c r="AT13" s="183">
        <f t="shared" si="7"/>
        <v>0</v>
      </c>
      <c r="AU13" s="203"/>
      <c r="AV13" s="132"/>
      <c r="AW13" s="203"/>
      <c r="AX13" s="132"/>
      <c r="AY13" s="183">
        <f>SUBTOTAL(9,AY8:AY12)</f>
        <v>13156</v>
      </c>
      <c r="AZ13" s="183">
        <f>SUBTOTAL(9,AZ8:AZ12)</f>
        <v>7689</v>
      </c>
      <c r="BA13" s="183">
        <f>SUBTOTAL(9,BA8:BA12)</f>
        <v>6990</v>
      </c>
      <c r="BB13" s="183">
        <f>SUBTOTAL(9,BB8:BB12)</f>
        <v>13855</v>
      </c>
      <c r="BC13" s="183">
        <f>SUBTOTAL(9,BC8:BC12)</f>
        <v>4231</v>
      </c>
      <c r="BD13" s="204">
        <f>IF(ISNUMBER(BA13/AZ13),BA13/AZ13," - ")</f>
        <v>0.90909090909090906</v>
      </c>
      <c r="BE13" s="205">
        <f>IF(ISNUMBER(BB13/BA13),BB13/BA13, " - ")</f>
        <v>1.9821173104434906</v>
      </c>
      <c r="BF13" s="205">
        <f>IF(ISNUMBER(BC13/BA13),BC13/BA13, " - ")</f>
        <v>0.60529327610872674</v>
      </c>
      <c r="BG13" s="206">
        <f>IF(ISNUMBER((AY13+AZ13)/BA13),(AY13+AZ13)/BA13," - ")</f>
        <v>2.9821173104434906</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2390</v>
      </c>
      <c r="J15" s="182">
        <v>3122</v>
      </c>
      <c r="K15" s="182">
        <v>3199</v>
      </c>
      <c r="L15" s="182">
        <v>2373</v>
      </c>
      <c r="M15" s="182">
        <v>198</v>
      </c>
      <c r="N15" s="182">
        <v>2169</v>
      </c>
      <c r="O15" s="180">
        <v>0</v>
      </c>
      <c r="P15" s="182">
        <v>84</v>
      </c>
      <c r="Q15" s="182">
        <v>145</v>
      </c>
      <c r="R15" s="182">
        <v>233</v>
      </c>
      <c r="S15" s="182">
        <v>2289</v>
      </c>
      <c r="T15" s="182">
        <v>3634</v>
      </c>
      <c r="U15" s="182">
        <v>3731</v>
      </c>
      <c r="V15" s="182">
        <v>2268</v>
      </c>
      <c r="W15" s="182">
        <v>318</v>
      </c>
      <c r="X15" s="188">
        <v>2275</v>
      </c>
      <c r="Y15" s="201">
        <v>0</v>
      </c>
      <c r="Z15" s="182">
        <v>0</v>
      </c>
      <c r="AA15" s="182">
        <v>0</v>
      </c>
      <c r="AB15" s="182">
        <v>0</v>
      </c>
      <c r="AC15" s="182">
        <v>0</v>
      </c>
      <c r="AD15" s="182">
        <v>82</v>
      </c>
      <c r="AE15" s="182">
        <v>82</v>
      </c>
      <c r="AF15" s="188">
        <v>0</v>
      </c>
      <c r="AG15" s="201">
        <v>0</v>
      </c>
      <c r="AH15" s="182">
        <v>0</v>
      </c>
      <c r="AI15" s="182">
        <v>0</v>
      </c>
      <c r="AJ15" s="202">
        <v>0</v>
      </c>
      <c r="AK15" s="181">
        <v>0</v>
      </c>
      <c r="AL15" s="182">
        <v>85</v>
      </c>
      <c r="AM15" s="182">
        <v>85</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2289</v>
      </c>
      <c r="AZ15" s="129">
        <f t="shared" si="9"/>
        <v>3634</v>
      </c>
      <c r="BA15" s="129">
        <f t="shared" si="9"/>
        <v>3731</v>
      </c>
      <c r="BB15" s="129">
        <f t="shared" si="9"/>
        <v>2268</v>
      </c>
      <c r="BC15" s="125">
        <f>IF(ISNUMBER(W15),W15," - ")</f>
        <v>318</v>
      </c>
      <c r="BD15" s="126">
        <f>IF(ISNUMBER(BA15/AZ15),BA15/AZ15," - ")</f>
        <v>1.0266923500275178</v>
      </c>
      <c r="BE15" s="127">
        <f>IF(ISNUMBER(BB15/BA15),BB15/BA15, " - ")</f>
        <v>0.60787992495309573</v>
      </c>
      <c r="BF15" s="127">
        <f>IF(ISNUMBER(BC15/BA15),BC15/BA15, " - ")</f>
        <v>8.52318413294023E-2</v>
      </c>
      <c r="BG15" s="195">
        <f t="shared" ref="BG15:BG17" si="10">IF(ISNUMBER((AY15+AZ15)/BA15),(AY15+AZ15)/BA15," - ")</f>
        <v>1.5875100509246851</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367</v>
      </c>
      <c r="J18" s="182">
        <v>609</v>
      </c>
      <c r="K18" s="182">
        <v>557</v>
      </c>
      <c r="L18" s="182">
        <v>408</v>
      </c>
      <c r="M18" s="182">
        <v>16</v>
      </c>
      <c r="N18" s="182">
        <v>383</v>
      </c>
      <c r="O18" s="182">
        <v>0</v>
      </c>
      <c r="P18" s="182">
        <v>0</v>
      </c>
      <c r="Q18" s="182">
        <v>6</v>
      </c>
      <c r="R18" s="182">
        <v>5</v>
      </c>
      <c r="S18" s="182">
        <v>294</v>
      </c>
      <c r="T18" s="182">
        <v>421</v>
      </c>
      <c r="U18" s="182">
        <v>440</v>
      </c>
      <c r="V18" s="182">
        <v>278</v>
      </c>
      <c r="W18" s="182">
        <v>17</v>
      </c>
      <c r="X18" s="188">
        <v>224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294</v>
      </c>
      <c r="AZ18" s="129">
        <f t="shared" si="19"/>
        <v>421</v>
      </c>
      <c r="BA18" s="129">
        <f t="shared" si="19"/>
        <v>440</v>
      </c>
      <c r="BB18" s="129">
        <f t="shared" si="19"/>
        <v>278</v>
      </c>
      <c r="BC18" s="125">
        <f>IF(ISNUMBER(W18),W18," - ")</f>
        <v>17</v>
      </c>
      <c r="BD18" s="126">
        <f>IF(ISNUMBER(BA18/AZ18),BA18/AZ18," - ")</f>
        <v>1.0451306413301662</v>
      </c>
      <c r="BE18" s="127">
        <f>IF(ISNUMBER(BB18/BA18),BB18/BA18, " - ")</f>
        <v>0.63181818181818183</v>
      </c>
      <c r="BF18" s="127">
        <f>IF(ISNUMBER(BC18/BA18),BC18/BA18, " - ")</f>
        <v>3.8636363636363635E-2</v>
      </c>
      <c r="BG18" s="195">
        <f>IF(ISNUMBER((AY18+AZ18)/BA18),(AY18+AZ18)/BA18," - ")</f>
        <v>1.625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2757</v>
      </c>
      <c r="J19" s="183">
        <f t="shared" si="20"/>
        <v>3731</v>
      </c>
      <c r="K19" s="183">
        <f t="shared" si="20"/>
        <v>3756</v>
      </c>
      <c r="L19" s="183">
        <f t="shared" si="20"/>
        <v>2781</v>
      </c>
      <c r="M19" s="183">
        <f t="shared" si="20"/>
        <v>214</v>
      </c>
      <c r="N19" s="183">
        <f t="shared" si="20"/>
        <v>2552</v>
      </c>
      <c r="O19" s="183">
        <f t="shared" si="20"/>
        <v>0</v>
      </c>
      <c r="P19" s="183">
        <f t="shared" si="20"/>
        <v>84</v>
      </c>
      <c r="Q19" s="183">
        <f t="shared" si="20"/>
        <v>151</v>
      </c>
      <c r="R19" s="183">
        <f t="shared" si="20"/>
        <v>238</v>
      </c>
      <c r="S19" s="183">
        <f t="shared" si="20"/>
        <v>2583</v>
      </c>
      <c r="T19" s="183">
        <f t="shared" si="20"/>
        <v>4055</v>
      </c>
      <c r="U19" s="183">
        <f t="shared" si="20"/>
        <v>4171</v>
      </c>
      <c r="V19" s="183">
        <f t="shared" si="20"/>
        <v>2546</v>
      </c>
      <c r="W19" s="183">
        <f t="shared" si="20"/>
        <v>335</v>
      </c>
      <c r="X19" s="183">
        <f t="shared" si="20"/>
        <v>2499</v>
      </c>
      <c r="Y19" s="183">
        <f t="shared" si="20"/>
        <v>0</v>
      </c>
      <c r="Z19" s="183">
        <f t="shared" si="20"/>
        <v>0</v>
      </c>
      <c r="AA19" s="183">
        <f t="shared" si="20"/>
        <v>0</v>
      </c>
      <c r="AB19" s="183">
        <f t="shared" si="20"/>
        <v>0</v>
      </c>
      <c r="AC19" s="183">
        <f t="shared" si="20"/>
        <v>0</v>
      </c>
      <c r="AD19" s="183">
        <f t="shared" si="20"/>
        <v>82</v>
      </c>
      <c r="AE19" s="183">
        <f t="shared" si="20"/>
        <v>82</v>
      </c>
      <c r="AF19" s="183">
        <f t="shared" si="20"/>
        <v>0</v>
      </c>
      <c r="AG19" s="183">
        <f t="shared" si="20"/>
        <v>0</v>
      </c>
      <c r="AH19" s="183">
        <f t="shared" si="20"/>
        <v>0</v>
      </c>
      <c r="AI19" s="183">
        <f t="shared" si="20"/>
        <v>0</v>
      </c>
      <c r="AJ19" s="183">
        <f t="shared" si="20"/>
        <v>0</v>
      </c>
      <c r="AK19" s="183">
        <f t="shared" si="20"/>
        <v>0</v>
      </c>
      <c r="AL19" s="183">
        <f t="shared" si="20"/>
        <v>85</v>
      </c>
      <c r="AM19" s="183">
        <f t="shared" si="20"/>
        <v>85</v>
      </c>
      <c r="AN19" s="183">
        <f t="shared" si="20"/>
        <v>0</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2583</v>
      </c>
      <c r="AZ19" s="183">
        <f>SUBTOTAL(9,AZ14:AZ18)</f>
        <v>4055</v>
      </c>
      <c r="BA19" s="183">
        <f>SUBTOTAL(9,BA14:BA18)</f>
        <v>4171</v>
      </c>
      <c r="BB19" s="183">
        <f>SUBTOTAL(9,BB14:BB18)</f>
        <v>2546</v>
      </c>
      <c r="BC19" s="183">
        <f>SUBTOTAL(9,BC14:BC18)</f>
        <v>335</v>
      </c>
      <c r="BD19" s="204">
        <f>IF(ISNUMBER(BA19/AZ19),BA19/AZ19," - ")</f>
        <v>1.0286066584463625</v>
      </c>
      <c r="BE19" s="205">
        <f>IF(ISNUMBER(BB19/BA19),BB19/BA19, " - ")</f>
        <v>0.61040517861424115</v>
      </c>
      <c r="BF19" s="205">
        <f>IF(ISNUMBER(BC19/BA19),BC19/BA19, " - ")</f>
        <v>8.0316470870294893E-2</v>
      </c>
      <c r="BG19" s="206">
        <f>IF(ISNUMBER((AY19+AZ19)/BA19),(AY19+AZ19)/BA19," - ")</f>
        <v>1.5914648765284105</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14437</v>
      </c>
      <c r="J20" s="134">
        <f t="shared" si="23"/>
        <v>7159</v>
      </c>
      <c r="K20" s="134">
        <f t="shared" si="23"/>
        <v>8146</v>
      </c>
      <c r="L20" s="134">
        <f t="shared" si="23"/>
        <v>13400</v>
      </c>
      <c r="M20" s="134">
        <f t="shared" si="23"/>
        <v>1393</v>
      </c>
      <c r="N20" s="134">
        <f t="shared" si="23"/>
        <v>5039</v>
      </c>
      <c r="O20" s="134">
        <f t="shared" si="23"/>
        <v>1574</v>
      </c>
      <c r="P20" s="134">
        <f t="shared" si="23"/>
        <v>845</v>
      </c>
      <c r="Q20" s="134">
        <f t="shared" si="23"/>
        <v>1360</v>
      </c>
      <c r="R20" s="134">
        <f t="shared" si="23"/>
        <v>16391</v>
      </c>
      <c r="S20" s="134">
        <f t="shared" si="23"/>
        <v>15244</v>
      </c>
      <c r="T20" s="134">
        <f t="shared" si="23"/>
        <v>11272</v>
      </c>
      <c r="U20" s="134">
        <f t="shared" si="23"/>
        <v>10714</v>
      </c>
      <c r="V20" s="134">
        <f t="shared" si="23"/>
        <v>15881</v>
      </c>
      <c r="W20" s="134">
        <f t="shared" si="23"/>
        <v>1711</v>
      </c>
      <c r="X20" s="134">
        <f t="shared" si="23"/>
        <v>6747</v>
      </c>
      <c r="Y20" s="134">
        <f t="shared" si="23"/>
        <v>573</v>
      </c>
      <c r="Z20" s="134">
        <f t="shared" si="23"/>
        <v>476</v>
      </c>
      <c r="AA20" s="134">
        <f t="shared" si="23"/>
        <v>479</v>
      </c>
      <c r="AB20" s="134">
        <f t="shared" si="23"/>
        <v>570</v>
      </c>
      <c r="AC20" s="134">
        <f t="shared" si="23"/>
        <v>0</v>
      </c>
      <c r="AD20" s="134">
        <f t="shared" si="23"/>
        <v>82</v>
      </c>
      <c r="AE20" s="134">
        <f t="shared" si="23"/>
        <v>82</v>
      </c>
      <c r="AF20" s="134">
        <f t="shared" si="23"/>
        <v>0</v>
      </c>
      <c r="AG20" s="134">
        <f t="shared" si="23"/>
        <v>495</v>
      </c>
      <c r="AH20" s="134">
        <f t="shared" si="23"/>
        <v>472</v>
      </c>
      <c r="AI20" s="134">
        <f t="shared" si="23"/>
        <v>447</v>
      </c>
      <c r="AJ20" s="134">
        <f t="shared" si="23"/>
        <v>520</v>
      </c>
      <c r="AK20" s="134">
        <f t="shared" si="23"/>
        <v>0</v>
      </c>
      <c r="AL20" s="134">
        <f t="shared" si="23"/>
        <v>85</v>
      </c>
      <c r="AM20" s="134">
        <f t="shared" si="23"/>
        <v>85</v>
      </c>
      <c r="AN20" s="209">
        <f t="shared" si="23"/>
        <v>0</v>
      </c>
      <c r="AO20" s="210">
        <v>17</v>
      </c>
      <c r="AP20" s="210">
        <v>17</v>
      </c>
      <c r="AQ20" s="210">
        <v>16</v>
      </c>
      <c r="AR20" s="210">
        <v>16</v>
      </c>
      <c r="AS20" s="152">
        <f t="shared" si="23"/>
        <v>0</v>
      </c>
      <c r="AT20" s="152">
        <f t="shared" si="23"/>
        <v>0</v>
      </c>
      <c r="AU20" s="210"/>
      <c r="AV20" s="211"/>
      <c r="AW20" s="210"/>
      <c r="AX20" s="211"/>
      <c r="AY20" s="133">
        <f>SUBTOTAL(9,AY9:AY19)</f>
        <v>15739</v>
      </c>
      <c r="AZ20" s="134">
        <f>SUBTOTAL(9,AZ9:AZ19)</f>
        <v>11744</v>
      </c>
      <c r="BA20" s="134">
        <f>SUBTOTAL(9,BA9:BA19)</f>
        <v>11161</v>
      </c>
      <c r="BB20" s="134">
        <f>SUBTOTAL(9,BB9:BB19)</f>
        <v>16401</v>
      </c>
      <c r="BC20" s="135">
        <f>SUBTOTAL(9,BC9:BC19)</f>
        <v>4566</v>
      </c>
      <c r="BD20" s="212">
        <f>IF(ISNUMBER(BA20/AZ20),BA20/AZ20," - ")</f>
        <v>0.95035762942779289</v>
      </c>
      <c r="BE20" s="209">
        <f>IF(ISNUMBER(BB20/BA20),BB20/BA20, " - ")</f>
        <v>1.4694919810052862</v>
      </c>
      <c r="BF20" s="209">
        <f>IF(ISNUMBER(BC20/BA20),BC20/BA20, " - ")</f>
        <v>0.40910312695994983</v>
      </c>
      <c r="BG20" s="135">
        <f>IF(ISNUMBER((AY20+AZ20)/BA20),(AY20+AZ20)/BA20," - ")</f>
        <v>2.4624137622076874</v>
      </c>
      <c r="BH20" s="210">
        <f>SUBTOTAL(9,BH9:BH19)</f>
        <v>20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rTFXrp+1UCtpO84NyEhxRNonLsvIzGnQHk98xIQgVoOqswKc8X0sp/WjocphOxl08F7o2tqDN96imb4MJ1G1g==" saltValue="XEtpuGXhFrrsfqvATPBo0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GSr5s32apZ3cdWfey51401VTDqx64Y2MOqSRdco78/Nyj3EU5ia7FeyEiXaxFtkazjpQEhT7NnJPQr42BD35g==" saltValue="4OeKQ4V+lDe2LYTXbM7Ao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MOSTOLES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112</v>
      </c>
      <c r="O9" s="1247"/>
      <c r="P9" s="1247"/>
      <c r="Q9" s="1215">
        <f>IF(ISNUMBER(Datos!P9),Datos!P9,0)</f>
        <v>686</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1081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146</v>
      </c>
      <c r="AI9" s="1247" t="str">
        <f>IF(ISNUMBER(Datos!CD9),Datos!CD9,"-")</f>
        <v>-</v>
      </c>
      <c r="AJ9" s="1247" t="str">
        <f>IF(ISNUMBER(Datos!EN9),Datos!EN9," - ")</f>
        <v xml:space="preserve"> - </v>
      </c>
      <c r="AK9" s="1247"/>
      <c r="AL9" s="1258"/>
      <c r="AM9" s="1248">
        <f>IF(ISNUMBER(Datos!R9),Datos!R9," - ")</f>
        <v>14887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964</v>
      </c>
      <c r="BD9" s="1218">
        <f>IF(ISNUMBER(Datos!N9),Datos!N9," - ")</f>
        <v>1966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1.2862656802830492</v>
      </c>
      <c r="BH9" s="1226">
        <f>IF(ISNUMBER(((IF(J_V="SI",Datos!L9/Datos!K9,(Datos!L9+Datos!AB9)/(Datos!K9+Datos!AA9)))*11)/factor_trimestre),((IF(J_V="SI",Datos!L9/Datos!K9,(Datos!L9+Datos!AB9)/(Datos!K9+Datos!AA9)))*11)/factor_trimestre," - ")</f>
        <v>7.4508627156789196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-2.5847402172490513E-2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132</v>
      </c>
      <c r="G10" s="1246">
        <f>IF(ISNUMBER(Datos!I10),Datos!I10," - ")</f>
        <v>132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55</v>
      </c>
      <c r="AC10" s="1215">
        <f>IF(ISNUMBER(Datos!Q10),Datos!Q10," - ")</f>
        <v>5</v>
      </c>
      <c r="AD10" s="1247"/>
      <c r="AE10" s="1262"/>
      <c r="AF10" s="1245">
        <f>IF(ISNUMBER(Datos!L10),Datos!L10,"-")</f>
        <v>135</v>
      </c>
      <c r="AG10" s="1247"/>
      <c r="AH10" s="1247"/>
      <c r="AI10" s="1247"/>
      <c r="AJ10" s="1247"/>
      <c r="AK10" s="1247"/>
      <c r="AL10" s="1258"/>
      <c r="AM10" s="1248">
        <f>IF(ISNUMBER(Datos!R10),Datos!R10," - ")</f>
        <v>125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20</v>
      </c>
      <c r="BD10" s="1218">
        <f>IF(ISNUMBER(Datos!N10),Datos!N10," - ")</f>
        <v>21</v>
      </c>
      <c r="BE10" s="1218" t="str">
        <f>IF(ISNUMBER(Datos!BW10),Datos!BW10," - ")</f>
        <v xml:space="preserve"> - </v>
      </c>
      <c r="BF10" s="1217" t="str">
        <f>IF(ISNUMBER(Datos!BX10),Datos!BX10," - ")</f>
        <v xml:space="preserve"> - </v>
      </c>
      <c r="BG10" s="1223">
        <f>IF(ISNUMBER(Datos!K10/Datos!J10),Datos!K10/Datos!J10," - ")</f>
        <v>0.94827586206896552</v>
      </c>
      <c r="BH10" s="1226">
        <f>IF(ISNUMBER(((Datos!L10/Datos!K10)*11)/factor_trimestre),((Datos!L10/Datos!K10)*11)/factor_trimestre," - ")</f>
        <v>7.3636363636363642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5.0420168067226892E-2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364</v>
      </c>
      <c r="O11" s="1247"/>
      <c r="P11" s="1247"/>
      <c r="Q11" s="1215">
        <f>IF(ISNUMBER(Datos!P11),Datos!P11,0)</f>
        <v>64</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123</v>
      </c>
      <c r="AD11" s="1247"/>
      <c r="AE11" s="1262"/>
      <c r="AF11" s="1245" t="str">
        <f>IF(ISNUMBER(IF(J_V="SI",Datos!L11,Datos!L11+Datos!AB11)-IF(Monitorios="SI",Datos!CD11,0)),
                          IF(J_V="SI",Datos!L11,Datos!L11+Datos!AB11)-IF(Monitorios="SI",Datos!CD11,0),
                          " - ")</f>
        <v xml:space="preserve"> - </v>
      </c>
      <c r="AG11" s="1247"/>
      <c r="AH11" s="1247">
        <f>IF(ISNUMBER(Datos!AB11),Datos!AB11,"-")</f>
        <v>424</v>
      </c>
      <c r="AI11" s="1247"/>
      <c r="AJ11" s="1247"/>
      <c r="AK11" s="1247"/>
      <c r="AL11" s="1258"/>
      <c r="AM11" s="1248">
        <f>IF(ISNUMBER(Datos!R11),Datos!R11," - ")</f>
        <v>1141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195</v>
      </c>
      <c r="BD11" s="1218">
        <f>IF(ISNUMBER(Datos!N11),Datos!N11," - ")</f>
        <v>500</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1.1058344640434192</v>
      </c>
      <c r="BH11" s="1226">
        <f>IF(ISNUMBER(((IF(J_V="SI",Datos!L11/Datos!K11,(Datos!L11+Datos!AB11)/(Datos!K11+Datos!AA11)))*11)/factor_trimestre),((IF(J_V="SI",Datos!L11/Datos!K11,(Datos!L11+Datos!AB11)/(Datos!K11+Datos!AA11)))*11)/factor_trimestre," - ")</f>
        <v>4.1300613496932517</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-4.9166666666666664E-2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11</v>
      </c>
      <c r="F13" s="1391">
        <f t="shared" si="0"/>
        <v>132</v>
      </c>
      <c r="G13" s="1391">
        <f t="shared" si="0"/>
        <v>132</v>
      </c>
      <c r="H13" s="1392">
        <f t="shared" si="0"/>
        <v>0</v>
      </c>
      <c r="I13" s="1391">
        <f t="shared" si="0"/>
        <v>0</v>
      </c>
      <c r="J13" s="1383">
        <f t="shared" si="0"/>
        <v>0</v>
      </c>
      <c r="K13" s="1383">
        <f t="shared" si="0"/>
        <v>0</v>
      </c>
      <c r="L13" s="1392">
        <f t="shared" si="0"/>
        <v>0</v>
      </c>
      <c r="M13" s="1392">
        <f t="shared" si="0"/>
        <v>0</v>
      </c>
      <c r="N13" s="1392">
        <f t="shared" si="0"/>
        <v>476</v>
      </c>
      <c r="O13" s="1393">
        <f t="shared" si="0"/>
        <v>0</v>
      </c>
      <c r="P13" s="1393">
        <f t="shared" si="0"/>
        <v>0</v>
      </c>
      <c r="Q13" s="1392">
        <f t="shared" si="0"/>
        <v>761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55</v>
      </c>
      <c r="AC13" s="1392">
        <f t="shared" si="1"/>
        <v>1209</v>
      </c>
      <c r="AD13" s="1392">
        <f t="shared" si="1"/>
        <v>0</v>
      </c>
      <c r="AE13" s="1392">
        <f t="shared" si="1"/>
        <v>0</v>
      </c>
      <c r="AF13" s="1392">
        <f t="shared" si="1"/>
        <v>135</v>
      </c>
      <c r="AG13" s="1392">
        <f t="shared" si="1"/>
        <v>0</v>
      </c>
      <c r="AH13" s="1392">
        <f t="shared" si="1"/>
        <v>570</v>
      </c>
      <c r="AI13" s="1392">
        <f t="shared" si="1"/>
        <v>0</v>
      </c>
      <c r="AJ13" s="1392">
        <f t="shared" si="1"/>
        <v>0</v>
      </c>
      <c r="AK13" s="1392">
        <f t="shared" si="1"/>
        <v>0</v>
      </c>
      <c r="AL13" s="1392">
        <f t="shared" si="1"/>
        <v>0</v>
      </c>
      <c r="AM13" s="1392">
        <f t="shared" si="1"/>
        <v>16153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1179</v>
      </c>
      <c r="BD13" s="1392">
        <f t="shared" si="1"/>
        <v>2487</v>
      </c>
      <c r="BE13" s="1392">
        <f t="shared" si="1"/>
        <v>0</v>
      </c>
      <c r="BF13" s="1392">
        <f t="shared" si="1"/>
        <v>0</v>
      </c>
      <c r="BG13" s="1392">
        <f>IF(ISNUMBER(Datos!K13/Datos!J13),Datos!K13/Datos!J13," - ")</f>
        <v>1.2806301050175029</v>
      </c>
      <c r="BH13" s="1396">
        <f>IF(ISNUMBER(((Datos!L13/Datos!K13)*11)/factor_trimestre),((Datos!L13/Datos!K13)*11)/factor_trimestre," - ")</f>
        <v>7.256719817767654</v>
      </c>
      <c r="BI13" s="1392">
        <f>IF(ISNUMBER('Resol  Asuntos'!D13/NºAsuntos!G13),'Resol  Asuntos'!D13/NºAsuntos!G13," - ")</f>
        <v>0.24214417744916822</v>
      </c>
      <c r="BJ13" s="1392" t="str">
        <f>IF(ISNUMBER(Datos!CI13/Datos!CJ13),Datos!CI13/Datos!CJ13," - ")</f>
        <v xml:space="preserve"> - </v>
      </c>
      <c r="BK13" s="1392">
        <f>SUBTOTAL(9,BK8:BK12)</f>
        <v>0</v>
      </c>
      <c r="BL13" s="1392">
        <f>IF(ISNUMBER((I13-AB13+L13)/(F13)),(I13-AB13+L13)/(F13)," - ")</f>
        <v>-0.41666666666666669</v>
      </c>
      <c r="BM13" s="1397">
        <f>SUBTOTAL(9,BM9:BM12)</f>
        <v>-2.4593900771930285E-2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2450</v>
      </c>
      <c r="G15" s="1335">
        <f>IF(ISNUMBER(IF(D_I="SI",Datos!I15,Datos!I15+Datos!AC15)),IF(D_I="SI",Datos!I15,Datos!I15+Datos!AC15)," - ")</f>
        <v>2390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84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3199</v>
      </c>
      <c r="AC15" s="1215">
        <f>IF(ISNUMBER(Datos!Q15),Datos!Q15," - ")</f>
        <v>145</v>
      </c>
      <c r="AD15" s="1247"/>
      <c r="AE15" s="1262"/>
      <c r="AF15" s="1333">
        <f>IF(ISNUMBER(IF(D_I="SI",Datos!L15,Datos!L15+Datos!AF15)),IF(D_I="SI",Datos!L15,Datos!L15+Datos!AF15)," - ")</f>
        <v>2373</v>
      </c>
      <c r="AG15" s="1247"/>
      <c r="AH15" s="1247"/>
      <c r="AI15" s="1247"/>
      <c r="AJ15" s="1247"/>
      <c r="AK15" s="1247"/>
      <c r="AL15" s="1258"/>
      <c r="AM15" s="1248">
        <f>IF(ISNUMBER(Datos!R15),Datos!R15," - ")</f>
        <v>233</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198</v>
      </c>
      <c r="BD15" s="1218">
        <f>IF(ISNUMBER(Datos!N15),Datos!N15," - ")</f>
        <v>2169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1.0246636771300448</v>
      </c>
      <c r="BH15" s="1226">
        <f>IF(ISNUMBER(((IF(D_I="SI",Datos!L15/Datos!K15,(Datos!L15+Datos!AF15)/(Datos!K15+Datos!AE15)))*11)/factor_trimestre),((IF(D_I="SI",Datos!L15/Datos!K15,(Datos!L15+Datos!AF15)/(Datos!K15+Datos!AE15)))*11)/factor_trimestre," - ")</f>
        <v>2.2253829321663021</v>
      </c>
      <c r="BI15" s="1223">
        <f>IF(ISNUMBER('Resol  Asuntos'!D15/NºAsuntos!G15),'Resol  Asuntos'!D15/NºAsuntos!G15," - ")</f>
        <v>6.1894341981869334E-2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557</v>
      </c>
      <c r="AC18" s="1215">
        <f>IF(ISNUMBER(Datos!Q18),Datos!Q18," - ")</f>
        <v>6</v>
      </c>
      <c r="AD18" s="1247"/>
      <c r="AE18" s="1262"/>
      <c r="AF18" s="1245">
        <f>IF(ISNUMBER(Datos!L18),Datos!L18,"-")</f>
        <v>408</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383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0.91461412151067323</v>
      </c>
      <c r="BH18" s="1226">
        <f>IF(ISNUMBER(((IF(D_I="SI",Datos!L18/Datos!K18,(Datos!L18+Datos!AF18)/(Datos!K18+Datos!AE18)))*11)/factor_trimestre),((IF(D_I="SI",Datos!L18/Datos!K18,(Datos!L18+Datos!AF18)/(Datos!K18+Datos!AE18)))*11)/factor_trimestre," - ")</f>
        <v>2.1974865350089767</v>
      </c>
      <c r="BI18" s="1223">
        <f>IF(ISNUMBER('Resol  Asuntos'!D18/NºAsuntos!G18),'Resol  Asuntos'!D18/NºAsuntos!G18," - ")</f>
        <v>2.8725314183123879E-2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2450</v>
      </c>
      <c r="G19" s="1391">
        <f>SUBTOTAL(9,G15:G18)</f>
        <v>2757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3756</v>
      </c>
      <c r="AC19" s="1392">
        <f t="shared" si="4"/>
        <v>151</v>
      </c>
      <c r="AD19" s="1392">
        <f t="shared" si="4"/>
        <v>0</v>
      </c>
      <c r="AE19" s="1392">
        <f t="shared" si="4"/>
        <v>0</v>
      </c>
      <c r="AF19" s="1392">
        <f t="shared" si="4"/>
        <v>2781</v>
      </c>
      <c r="AG19" s="1392">
        <f t="shared" si="4"/>
        <v>0</v>
      </c>
      <c r="AH19" s="1392">
        <f t="shared" si="4"/>
        <v>0</v>
      </c>
      <c r="AI19" s="1392">
        <f t="shared" si="4"/>
        <v>0</v>
      </c>
      <c r="AJ19" s="1392">
        <f t="shared" si="4"/>
        <v>0</v>
      </c>
      <c r="AK19" s="1392">
        <f t="shared" si="4"/>
        <v>0</v>
      </c>
      <c r="AL19" s="1392">
        <f t="shared" si="4"/>
        <v>0</v>
      </c>
      <c r="AM19" s="1392">
        <f t="shared" si="4"/>
        <v>238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214</v>
      </c>
      <c r="BD19" s="1392">
        <f t="shared" si="4"/>
        <v>2552</v>
      </c>
      <c r="BE19" s="1392">
        <f t="shared" si="4"/>
        <v>0</v>
      </c>
      <c r="BF19" s="1392">
        <f t="shared" si="4"/>
        <v>0</v>
      </c>
      <c r="BG19" s="1392">
        <f>IF(ISNUMBER(Datos!K19/Datos!J19),Datos!K19/Datos!J19," - ")</f>
        <v>1.006700616456714</v>
      </c>
      <c r="BH19" s="1396">
        <f>IF(ISNUMBER(((Datos!L19/Datos!K19)*11)/factor_trimestre),((Datos!L19/Datos!K19)*11)/factor_trimestre," - ")</f>
        <v>2.2212460063897765</v>
      </c>
      <c r="BI19" s="1392">
        <f>SUBTOTAL(9,BI15:BI18)</f>
        <v>9.0619656164993206E-2</v>
      </c>
      <c r="BJ19" s="1392">
        <f>SUBTOTAL(9,BJ15:BJ18)</f>
        <v>0</v>
      </c>
      <c r="BK19" s="1392">
        <f>SUBTOTAL(9,BK15:BK18)</f>
        <v>0</v>
      </c>
      <c r="BL19" s="1392">
        <f>IF(ISNUMBER((I19-AB19+L19)/(F19)),(I19-AB19+L19)/(F19)," - ")</f>
        <v>-1.5330612244897959</v>
      </c>
      <c r="BM19" s="1398">
        <f>IF(ISNUMBER((Datos!P19-Datos!Q19)/(Datos!R19-Datos!P19+Datos!Q19)),(Datos!P19-Datos!Q19)/(Datos!R19-Datos!P19+Datos!Q19)," - ")</f>
        <v>-0.21967213114754097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2582</v>
      </c>
      <c r="G20" s="1367">
        <f t="shared" si="6"/>
        <v>2889</v>
      </c>
      <c r="H20" s="1369">
        <f t="shared" si="6"/>
        <v>0</v>
      </c>
      <c r="I20" s="1367">
        <f t="shared" si="6"/>
        <v>0</v>
      </c>
      <c r="J20" s="1369">
        <f t="shared" si="6"/>
        <v>0</v>
      </c>
      <c r="K20" s="1369">
        <f t="shared" si="6"/>
        <v>0</v>
      </c>
      <c r="L20" s="1386">
        <f t="shared" si="6"/>
        <v>0</v>
      </c>
      <c r="M20" s="1386">
        <f t="shared" si="6"/>
        <v>0</v>
      </c>
      <c r="N20" s="1386">
        <f t="shared" si="6"/>
        <v>476</v>
      </c>
      <c r="O20" s="1386">
        <f t="shared" si="6"/>
        <v>0</v>
      </c>
      <c r="P20" s="1386">
        <f t="shared" si="6"/>
        <v>0</v>
      </c>
      <c r="Q20" s="1369">
        <f t="shared" si="6"/>
        <v>845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3811</v>
      </c>
      <c r="AC20" s="1368">
        <f t="shared" si="7"/>
        <v>1360</v>
      </c>
      <c r="AD20" s="1368">
        <f t="shared" si="7"/>
        <v>0</v>
      </c>
      <c r="AE20" s="1368">
        <f t="shared" si="7"/>
        <v>0</v>
      </c>
      <c r="AF20" s="1371">
        <f t="shared" si="7"/>
        <v>2916</v>
      </c>
      <c r="AG20" s="1371">
        <f t="shared" si="7"/>
        <v>0</v>
      </c>
      <c r="AH20" s="1371">
        <f t="shared" si="7"/>
        <v>570</v>
      </c>
      <c r="AI20" s="1371">
        <f t="shared" si="7"/>
        <v>0</v>
      </c>
      <c r="AJ20" s="1368">
        <f t="shared" si="7"/>
        <v>0</v>
      </c>
      <c r="AK20" s="1371">
        <f t="shared" si="7"/>
        <v>0</v>
      </c>
      <c r="AL20" s="1371">
        <f t="shared" si="7"/>
        <v>0</v>
      </c>
      <c r="AM20" s="1371">
        <f t="shared" si="7"/>
        <v>16391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1393</v>
      </c>
      <c r="BD20" s="1367">
        <f t="shared" si="7"/>
        <v>5039</v>
      </c>
      <c r="BE20" s="1367">
        <f t="shared" si="7"/>
        <v>0</v>
      </c>
      <c r="BF20" s="1373">
        <f t="shared" si="7"/>
        <v>0</v>
      </c>
      <c r="BG20" s="1404">
        <f>IF(ISNUMBER(Datos!K20/Datos!J20),Datos!K20/Datos!J20," - ")</f>
        <v>1.1378684173767286</v>
      </c>
      <c r="BH20" s="1404">
        <f>IF(ISNUMBER(((Datos!L20/Datos!K20)*11)/factor_trimestre),((Datos!L20/Datos!K20)*11)/factor_trimestre," - ")</f>
        <v>4.9349373925853186</v>
      </c>
      <c r="BI20" s="1362">
        <f>IF(ISNUMBER(Datos!J20/Datos!I20),Datos!J20/Datos!I20," - ")</f>
        <v>0.49587864514788393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-1.475987606506584</v>
      </c>
      <c r="BM20" s="1387">
        <f>IF(ISNUMBER((Datos!P20-Datos!Q20+R20)/(Datos!R20-Datos!P20+Datos!Q20-R20)),(Datos!P20-Datos!Q20+R20)/(Datos!R20-Datos!P20+Datos!Q20-R20)," - ")</f>
        <v>-3.0462557671832487E-2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1155.5999999999999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3.7475918193480524</v>
      </c>
      <c r="F22" s="1298">
        <f>IF(ISNUMBER(STDEV(F8:F19)),STDEV(F8:F19),"-")</f>
        <v>1338.2979239815525</v>
      </c>
      <c r="G22" s="1299">
        <f>IF(ISNUMBER(STDEV(G8:G19)),STDEV(G8:G19),"-")</f>
        <v>1304.3800443122395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1805.4403341013515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471.55593517630547</v>
      </c>
      <c r="BD22" s="1298"/>
      <c r="BE22" s="1298">
        <f>IF(ISNUMBER(STDEV(BE8:BE19)),STDEV(BE8:BE19),"-")</f>
        <v>0</v>
      </c>
      <c r="BF22" s="1303">
        <f>IF(ISNUMBER(STDEV(BF8:BF19)),STDEV(BF8:BF19),"-")</f>
        <v>0</v>
      </c>
      <c r="BG22" s="1360">
        <f>IF(ISNUMBER(STDEV(BG8:BG19)),STDEV(BG8:BG19),"-")</f>
        <v>0.15088465015871302</v>
      </c>
      <c r="BH22" s="1361">
        <f>IF(ISNUMBER(STDEV(BH8:BH19)),STDEV(BH8:BH19),"-")</f>
        <v>2.5837295181844619</v>
      </c>
      <c r="BI22" s="1224">
        <f>IF(ISNUMBER(STDEV(BI8:BI19)),STDEV(BI8:BI19),"-")</f>
        <v>9.4319286019862253E-2</v>
      </c>
      <c r="BJ22" s="1219" t="str">
        <f>IF(ISNUMBER(BL22/BM22),BL22/BM22," - ")</f>
        <v xml:space="preserve"> - </v>
      </c>
      <c r="BK22" s="1320"/>
      <c r="BL22" s="1306">
        <f>IF(ISNUMBER(STDEV(BL8:BL19)),STDEV(BL8:BL19),"-")</f>
        <v>0.78941016231649175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3JaS1wxxuKEIrbRZzBQpKVTHWyGOnBgdeH/MMwyTxkHnNbCi4OnTkxkCZ4ctu32uJl1tK+CLrdqkQpC0pD2fwA==" saltValue="ciZ24s8szxZLCV8K2PrcL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MOSTOLES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686</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1081</v>
      </c>
      <c r="AA9" s="331" t="str">
        <f>IF(ISNUMBER(IF(J_V="SI",Datos!L9,Datos!L9+Datos!AB9)-IF(Monitorios="SI",Datos!CD9,0)),
                          IF(J_V="SI",Datos!L9,Datos!L9+Datos!AB9)-IF(Monitorios="SI",Datos!CD9,0),
                          " - ")</f>
        <v xml:space="preserve"> - </v>
      </c>
      <c r="AB9" s="333"/>
      <c r="AC9" s="333"/>
      <c r="AD9" s="483"/>
      <c r="AE9" s="483">
        <f>IF(ISNUMBER(Datos!R9),Datos!R9," - ")</f>
        <v>14887</v>
      </c>
      <c r="AF9" s="228" t="str">
        <f>IF(ISNUMBER(Datos!BV9),Datos!BV9," - ")</f>
        <v xml:space="preserve"> - </v>
      </c>
      <c r="AG9" s="224" t="str">
        <f>IF(ISNUMBER(Datos!DV9),Datos!DV9," - ")</f>
        <v xml:space="preserve"> - </v>
      </c>
      <c r="AH9" s="297"/>
      <c r="AI9" s="226"/>
      <c r="AJ9" s="224">
        <f>IF(ISNUMBER(Datos!M9),Datos!M9," - ")</f>
        <v>964</v>
      </c>
      <c r="AK9" s="228">
        <f>IF(ISNUMBER(Datos!N9),Datos!N9," - ")</f>
        <v>1966</v>
      </c>
      <c r="AL9" s="228" t="str">
        <f>IF(ISNUMBER(Datos!BW9),Datos!BW9," - ")</f>
        <v xml:space="preserve"> - </v>
      </c>
      <c r="AM9" s="227" t="str">
        <f>IF(ISNUMBER(Datos!BX9),Datos!BX9," - ")</f>
        <v xml:space="preserve"> - </v>
      </c>
      <c r="AN9" s="242"/>
      <c r="AO9" s="259">
        <f>IF(ISNUMBER(((NºAsuntos!I9/NºAsuntos!G9)*11)/factor_trimestre),((NºAsuntos!I9/NºAsuntos!G9)*11)/factor_trimestre," - ")</f>
        <v>7.4508627156789196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-2.5847402172490513E-2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132</v>
      </c>
      <c r="G10" s="224">
        <f>IF(ISNUMBER(Datos!I10),Datos!I10," - ")</f>
        <v>132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55</v>
      </c>
      <c r="Z10" s="617">
        <f>IF(ISNUMBER(Datos!Q10),Datos!Q10," - ")</f>
        <v>5</v>
      </c>
      <c r="AA10" s="331">
        <f>IF(ISNUMBER(Datos!L10),Datos!L10,"-")</f>
        <v>135</v>
      </c>
      <c r="AB10" s="333"/>
      <c r="AC10" s="333"/>
      <c r="AD10" s="483"/>
      <c r="AE10" s="483">
        <f>IF(ISNUMBER(Datos!R10),Datos!R10," - ")</f>
        <v>125</v>
      </c>
      <c r="AF10" s="228" t="str">
        <f>IF(ISNUMBER(Datos!BV10),Datos!BV10," - ")</f>
        <v xml:space="preserve"> - </v>
      </c>
      <c r="AG10" s="224" t="str">
        <f>IF(ISNUMBER(Datos!DV10),Datos!DV10," - ")</f>
        <v xml:space="preserve"> - </v>
      </c>
      <c r="AH10" s="297"/>
      <c r="AI10" s="226"/>
      <c r="AJ10" s="224">
        <f>IF(ISNUMBER(Datos!M10),Datos!M10," - ")</f>
        <v>20</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7.3636363636363642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5.0420168067226892E-2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64</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123</v>
      </c>
      <c r="AA11" s="331" t="str">
        <f>IF(ISNUMBER(IF(J_V="SI",Datos!L11,Datos!L11+Datos!AB11)-IF(Monitorios="SI",Datos!CD11,0)),
                          IF(J_V="SI",Datos!L11,Datos!L11+Datos!AB11)-IF(Monitorios="SI",Datos!CD11,0),
                          " - ")</f>
        <v xml:space="preserve"> - </v>
      </c>
      <c r="AB11" s="333"/>
      <c r="AC11" s="333"/>
      <c r="AD11" s="483"/>
      <c r="AE11" s="483">
        <f>IF(ISNUMBER(Datos!R11),Datos!R11," - ")</f>
        <v>1141</v>
      </c>
      <c r="AF11" s="228" t="str">
        <f>IF(ISNUMBER(Datos!BV11),Datos!BV11," - ")</f>
        <v xml:space="preserve"> - </v>
      </c>
      <c r="AG11" s="224" t="str">
        <f>IF(ISNUMBER(Datos!DV11),Datos!DV11," - ")</f>
        <v xml:space="preserve"> - </v>
      </c>
      <c r="AH11" s="297"/>
      <c r="AI11" s="226"/>
      <c r="AJ11" s="224">
        <f>IF(ISNUMBER(Datos!M11),Datos!M11," - ")</f>
        <v>195</v>
      </c>
      <c r="AK11" s="228">
        <f>IF(ISNUMBER(Datos!N11),Datos!N11," - ")</f>
        <v>500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4.1300613496932517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-4.9166666666666664E-2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11</v>
      </c>
      <c r="F13" s="895">
        <f>SUBTOTAL(9,F8:F12)</f>
        <v>132</v>
      </c>
      <c r="G13" s="895">
        <f>SUBTOTAL(9,G8:G12)</f>
        <v>132</v>
      </c>
      <c r="H13" s="905"/>
      <c r="I13" s="895">
        <f t="shared" ref="I13:N13" si="0">SUBTOTAL(9,I8:I12)</f>
        <v>0</v>
      </c>
      <c r="J13" s="864">
        <f t="shared" si="0"/>
        <v>0</v>
      </c>
      <c r="K13" s="905">
        <f t="shared" si="0"/>
        <v>0</v>
      </c>
      <c r="L13" s="905">
        <f t="shared" si="0"/>
        <v>0</v>
      </c>
      <c r="M13" s="905">
        <f t="shared" si="0"/>
        <v>0</v>
      </c>
      <c r="N13" s="905">
        <f t="shared" si="0"/>
        <v>761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55</v>
      </c>
      <c r="Z13" s="904">
        <f t="shared" si="2"/>
        <v>1209</v>
      </c>
      <c r="AA13" s="897">
        <f t="shared" si="2"/>
        <v>135</v>
      </c>
      <c r="AB13" s="897">
        <f t="shared" si="2"/>
        <v>0</v>
      </c>
      <c r="AC13" s="897">
        <f t="shared" si="2"/>
        <v>0</v>
      </c>
      <c r="AD13" s="897">
        <f t="shared" si="2"/>
        <v>0</v>
      </c>
      <c r="AE13" s="897">
        <f t="shared" si="2"/>
        <v>16153</v>
      </c>
      <c r="AF13" s="905">
        <f t="shared" si="2"/>
        <v>0</v>
      </c>
      <c r="AG13" s="905">
        <f t="shared" si="2"/>
        <v>0</v>
      </c>
      <c r="AH13" s="905">
        <f t="shared" si="2"/>
        <v>0</v>
      </c>
      <c r="AI13" s="905">
        <f t="shared" si="2"/>
        <v>0</v>
      </c>
      <c r="AJ13" s="905">
        <f t="shared" si="2"/>
        <v>1179</v>
      </c>
      <c r="AK13" s="905">
        <f t="shared" si="2"/>
        <v>2487</v>
      </c>
      <c r="AL13" s="905">
        <f t="shared" si="2"/>
        <v>0</v>
      </c>
      <c r="AM13" s="905">
        <f t="shared" si="2"/>
        <v>0</v>
      </c>
      <c r="AN13" s="905">
        <f t="shared" si="2"/>
        <v>0</v>
      </c>
      <c r="AO13" s="901">
        <f>IF(ISNUMBER(((NºAsuntos!I13/NºAsuntos!G13)*11)/factor_trimestre),((NºAsuntos!I13/NºAsuntos!G13)*11)/factor_trimestre," - ")</f>
        <v>6.8940234134319169</v>
      </c>
      <c r="AP13" s="907" t="str">
        <f>IF(ISNUMBER(Datos!CI13/Datos!CJ13),Datos!CI13/Datos!CJ13," - ")</f>
        <v xml:space="preserve"> - </v>
      </c>
      <c r="AQ13" s="923">
        <f t="shared" ref="AQ13:AV13" si="3">SUBTOTAL(9,AQ9:AQ12)</f>
        <v>0</v>
      </c>
      <c r="AR13" s="923">
        <f t="shared" si="3"/>
        <v>-2.4593900771930285E-2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2450</v>
      </c>
      <c r="G15" s="224">
        <f>IF(ISNUMBER(IF(D_I="SI",Datos!I15,Datos!I15+Datos!AC15)),IF(D_I="SI",Datos!I15,Datos!I15+Datos!AC15)," - ")</f>
        <v>2390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3199</v>
      </c>
      <c r="Z15" s="617">
        <f>IF(ISNUMBER(Datos!Q15),Datos!Q15," - ")</f>
        <v>145</v>
      </c>
      <c r="AA15" s="331">
        <f>IF(ISNUMBER(IF(D_I="SI",Datos!L15,Datos!L15+Datos!AF15)),IF(D_I="SI",Datos!L15,Datos!L15+Datos!AF15)," - ")</f>
        <v>2373</v>
      </c>
      <c r="AB15" s="333"/>
      <c r="AC15" s="333"/>
      <c r="AD15" s="483"/>
      <c r="AE15" s="483">
        <f>IF(ISNUMBER(Datos!R15),Datos!R15," - ")</f>
        <v>233</v>
      </c>
      <c r="AF15" s="228" t="str">
        <f>IF(ISNUMBER(Datos!BV15),Datos!BV15," - ")</f>
        <v xml:space="preserve"> - </v>
      </c>
      <c r="AG15" s="224"/>
      <c r="AH15" s="297"/>
      <c r="AI15" s="226"/>
      <c r="AJ15" s="224">
        <f>IF(ISNUMBER(Datos!M15),Datos!M15," - ")</f>
        <v>198</v>
      </c>
      <c r="AK15" s="228">
        <f>IF(ISNUMBER(Datos!N15),Datos!N15," - ")</f>
        <v>2169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2.2253829321663021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557</v>
      </c>
      <c r="Z18" s="617">
        <f>IF(ISNUMBER(Datos!Q18),Datos!Q18," - ")</f>
        <v>6</v>
      </c>
      <c r="AA18" s="331">
        <f>IF(ISNUMBER(Datos!L18),Datos!L18,"-")</f>
        <v>408</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16</v>
      </c>
      <c r="AK18" s="228">
        <f>IF(ISNUMBER(Datos!N18),Datos!N18," - ")</f>
        <v>383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2.1974865350089767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2450</v>
      </c>
      <c r="G19" s="895">
        <f>SUBTOTAL(9,G15:G18)</f>
        <v>2757</v>
      </c>
      <c r="H19" s="927">
        <f>SUBTOTAL(9,H15:H18)</f>
        <v>0</v>
      </c>
      <c r="I19" s="908">
        <f>SUBTOTAL(9,I15:I18)</f>
        <v>0</v>
      </c>
      <c r="J19" s="864">
        <f>SUBTOTAL(9,J14:J18)</f>
        <v>0</v>
      </c>
      <c r="K19" s="927">
        <f t="shared" ref="K19:S19" si="4">SUBTOTAL(9,K15:K18)</f>
        <v>0</v>
      </c>
      <c r="L19" s="927">
        <f t="shared" si="4"/>
        <v>0</v>
      </c>
      <c r="M19" s="927">
        <f t="shared" si="4"/>
        <v>0</v>
      </c>
      <c r="N19" s="927">
        <f t="shared" si="4"/>
        <v>84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3756</v>
      </c>
      <c r="Z19" s="927">
        <f t="shared" si="5"/>
        <v>151</v>
      </c>
      <c r="AA19" s="927">
        <f t="shared" si="5"/>
        <v>2781</v>
      </c>
      <c r="AB19" s="927">
        <f t="shared" si="5"/>
        <v>0</v>
      </c>
      <c r="AC19" s="927">
        <f t="shared" si="5"/>
        <v>0</v>
      </c>
      <c r="AD19" s="927">
        <f t="shared" si="5"/>
        <v>0</v>
      </c>
      <c r="AE19" s="927">
        <f t="shared" si="5"/>
        <v>238</v>
      </c>
      <c r="AF19" s="927">
        <f t="shared" si="5"/>
        <v>0</v>
      </c>
      <c r="AG19" s="927">
        <f t="shared" si="5"/>
        <v>0</v>
      </c>
      <c r="AH19" s="927">
        <f t="shared" si="5"/>
        <v>0</v>
      </c>
      <c r="AI19" s="927">
        <f t="shared" si="5"/>
        <v>0</v>
      </c>
      <c r="AJ19" s="927">
        <f t="shared" si="5"/>
        <v>214</v>
      </c>
      <c r="AK19" s="927">
        <f t="shared" si="5"/>
        <v>2552</v>
      </c>
      <c r="AL19" s="927">
        <f t="shared" si="5"/>
        <v>0</v>
      </c>
      <c r="AM19" s="927">
        <f t="shared" si="5"/>
        <v>0</v>
      </c>
      <c r="AN19" s="927">
        <f t="shared" si="5"/>
        <v>0</v>
      </c>
      <c r="AO19" s="929">
        <f>IF(ISNUMBER(((NºAsuntos!I19/NºAsuntos!G19)*11)/factor_trimestre),((NºAsuntos!I19/NºAsuntos!G19)*11)/factor_trimestre," - ")</f>
        <v>2.2212460063897765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2582</v>
      </c>
      <c r="G20" s="817">
        <f t="shared" si="7"/>
        <v>2889</v>
      </c>
      <c r="H20" s="818">
        <f t="shared" si="7"/>
        <v>0</v>
      </c>
      <c r="I20" s="817">
        <f t="shared" si="7"/>
        <v>0</v>
      </c>
      <c r="J20" s="819">
        <f t="shared" si="7"/>
        <v>0</v>
      </c>
      <c r="K20" s="817">
        <f t="shared" si="7"/>
        <v>0</v>
      </c>
      <c r="L20" s="820">
        <f t="shared" si="7"/>
        <v>0</v>
      </c>
      <c r="M20" s="817">
        <f t="shared" si="7"/>
        <v>0</v>
      </c>
      <c r="N20" s="818">
        <f t="shared" si="7"/>
        <v>845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3811</v>
      </c>
      <c r="Z20" s="824">
        <f t="shared" si="8"/>
        <v>1360</v>
      </c>
      <c r="AA20" s="825">
        <f t="shared" si="8"/>
        <v>2916</v>
      </c>
      <c r="AB20" s="825">
        <f t="shared" si="8"/>
        <v>0</v>
      </c>
      <c r="AC20" s="825">
        <f t="shared" si="8"/>
        <v>0</v>
      </c>
      <c r="AD20" s="826">
        <f t="shared" si="8"/>
        <v>0</v>
      </c>
      <c r="AE20" s="826">
        <f t="shared" si="8"/>
        <v>16391</v>
      </c>
      <c r="AF20" s="827">
        <f t="shared" si="8"/>
        <v>0</v>
      </c>
      <c r="AG20" s="828">
        <f t="shared" si="8"/>
        <v>0</v>
      </c>
      <c r="AH20" s="829">
        <f t="shared" si="8"/>
        <v>0</v>
      </c>
      <c r="AI20" s="827">
        <f t="shared" si="8"/>
        <v>0</v>
      </c>
      <c r="AJ20" s="817">
        <f t="shared" si="8"/>
        <v>1393</v>
      </c>
      <c r="AK20" s="817">
        <f t="shared" si="8"/>
        <v>5039</v>
      </c>
      <c r="AL20" s="817">
        <f t="shared" si="8"/>
        <v>0</v>
      </c>
      <c r="AM20" s="830">
        <f t="shared" si="8"/>
        <v>0</v>
      </c>
      <c r="AN20" s="820">
        <f>IF(ISNUMBER(Datos!K20/Datos!J20),Datos!K20/Datos!J20," - ")</f>
        <v>1.1378684173767286</v>
      </c>
      <c r="AO20" s="820">
        <f>IF(ISNUMBER(FIND("06",Criterios!A8,1)),(IF(ISNUMBER(((Datos!R20/Datos!Q20)*11)/factor_trimestre),((Datos!R20/Datos!Q20)*11)/factor_trimestre," - ")),(IF(ISNUMBER(((Datos!L20/Datos!K20)*11)/factor_trimestre),((Datos!L20/Datos!K20)*11)/factor_trimestre," - ")))</f>
        <v>4.9349373925853186</v>
      </c>
      <c r="AP20" s="831" t="str">
        <f>IF(ISNUMBER(Datos!CI20/Datos!CJ20),Datos!CI20/Datos!CJ20," - ")</f>
        <v xml:space="preserve"> - </v>
      </c>
      <c r="AQ20" s="831">
        <f>IF(OR(ISNUMBER(FIND("01",Criterios!A8,1)),ISNUMBER(FIND("02",Criterios!A8,1)),ISNUMBER(FIND("03",Criterios!A8,1)),ISNUMBER(FIND("04",Criterios!A8,1))),(J20-Y20+K20)/(F20-K20),(I20-Y20+K20)/(F20-K20))</f>
        <v>-1.475987606506584</v>
      </c>
      <c r="AR20" s="831">
        <f>IF(ISNUMBER((Datos!P20-Datos!Q20+O20)/(Datos!R20-Datos!P20+Datos!Q20-O20)),(Datos!P20-Datos!Q20+O20)/(Datos!R20-Datos!P20+Datos!Q20-O20)," - ")</f>
        <v>-3.0462557671832487E-2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1155.5999999999999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1338.2979239815525</v>
      </c>
      <c r="G22" s="551">
        <f>IF(ISNUMBER(STDEV(G8:G19)),STDEV(G8:G19),"-")</f>
        <v>1304.3800443122395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471.55593517630547</v>
      </c>
      <c r="AK22" s="251"/>
      <c r="AL22" s="251">
        <f>IF(ISNUMBER(STDEV(AL8:AL19)),STDEV(AL8:AL19),"-")</f>
        <v>0</v>
      </c>
      <c r="AM22" s="253">
        <f>IF(ISNUMBER(STDEV(AM8:AM19)),STDEV(AM8:AM19),"-")</f>
        <v>0</v>
      </c>
      <c r="AN22" s="538">
        <f>IF(ISNUMBER(STDEV(AN8:AN19)),STDEV(AN8:AN19),"-")</f>
        <v>0</v>
      </c>
      <c r="AO22" s="539">
        <f>IF(ISNUMBER(STDEV(AO8:AO19)),STDEV(AO8:AO19),"-")</f>
        <v>2.5267377081503328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rqhCq4Gm4ytPjnQEDeIXopWa/yUO3ILe4epxwBf5GN4jrFKNZWbpjDBXAyoITwjKTFAzZ8WzXlgezOBXGuTQg==" saltValue="txSNere6yKfcGGoLyRH6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Pdrt2+Z2NMpe6iQA9/Lu4bGk3tRqotjkxa1g93YpyaynSoRaleiz8uV5qzZbQDuvaJ356qX4+FF5B6voH2CVA==" saltValue="iQJ5Fb2LgsWvjeRClFVI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MPaJKufE5bt64/lrfLejHctsrQRUmpisTFL07WFb0enP39w/TYPgdmSqZfARo5638AG8LNqNtpEM9KbnhcNXQ==" saltValue="Ep7PVzIqTTVaZtwub6rc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MOSTOLES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0.24214417744916822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0.17122178989914552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47Lq9IxqPx31f/ERCbKRKlP1zqfMecgMo0LpYh/70d7eFj7n/uEHtJivAlXsUu6yScE93kn6cJZYI2bGmTBnw==" saltValue="YRiaJIaMcz8qsjZAeZfR9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0ANvNFCfb2TvypwyCvmo5XB39CcbSzWxW9ycx1Bj1xbP5qkt019I0RzdprIz0hVPetkWiT2GPr/1DY/KGLQ9Q==" saltValue="g/PC3vAXh6SP/vTqrqjO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MOSTOLES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10875</v>
      </c>
      <c r="D9" s="403">
        <f>IF(ISNUMBER(C9/Datos!BH9),C9/Datos!BH9," - ")</f>
        <v>1553.5714285714287</v>
      </c>
      <c r="E9" s="402">
        <f>IF(ISNUMBER(IF(J_V="SI",Datos!J9,Datos!J9+Datos!Z9)),IF(J_V="SI",Datos!J9,Datos!J9+Datos!Z9)," - ")</f>
        <v>3109</v>
      </c>
      <c r="F9" s="403">
        <f>IF(ISNUMBER(E9/B9),E9/B9," - ")</f>
        <v>444.14285714285717</v>
      </c>
      <c r="G9" s="402">
        <f>IF(ISNUMBER(IF(J_V="SI",Datos!K9,Datos!K9+Datos!AA9)),IF(J_V="SI",Datos!K9,Datos!K9+Datos!AA9)," - ")</f>
        <v>3999</v>
      </c>
      <c r="H9" s="403">
        <f>IF(ISNUMBER(G9/B9),G9/B9," - ")</f>
        <v>571.28571428571433</v>
      </c>
      <c r="I9" s="402">
        <f>IF(ISNUMBER(IF(J_V="SI",Datos!L9,Datos!L9+Datos!AB9)),IF(J_V="SI",Datos!L9,Datos!L9+Datos!AB9)," - ")</f>
        <v>9932</v>
      </c>
      <c r="J9" s="403">
        <f>IF(ISNUMBER(I9/B9),I9/B9," - ")</f>
        <v>1418.8571428571429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132</v>
      </c>
      <c r="D10" s="403">
        <f>IF(ISNUMBER(C10/Datos!BH10),C10/Datos!BH10," - ")</f>
        <v>132</v>
      </c>
      <c r="E10" s="402">
        <f>IF(ISNUMBER(Datos!J10),Datos!J10," - ")</f>
        <v>58</v>
      </c>
      <c r="F10" s="403">
        <f>IF(ISNUMBER(E10/B10),E10/B10," - ")</f>
        <v>29</v>
      </c>
      <c r="G10" s="402">
        <f>IF(ISNUMBER(Datos!K10),Datos!K10," - ")</f>
        <v>55</v>
      </c>
      <c r="H10" s="403">
        <f>IF(ISNUMBER(G10/B10),G10/B10," - ")</f>
        <v>27.5</v>
      </c>
      <c r="I10" s="402">
        <f>IF(ISNUMBER(Datos!L10),Datos!L10," - ")</f>
        <v>135</v>
      </c>
      <c r="J10" s="403">
        <f>IF(ISNUMBER(I10/B10),I10/B10," - ")</f>
        <v>67.5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1246</v>
      </c>
      <c r="D11" s="403">
        <f>IF(ISNUMBER(C11/Datos!BH11),C11/Datos!BH11," - ")</f>
        <v>249.2</v>
      </c>
      <c r="E11" s="402">
        <f>IF(ISNUMBER(IF(J_V="SI",Datos!J11,Datos!J11+Datos!Z11)),IF(J_V="SI",Datos!J11,Datos!J11+Datos!Z11)," - ")</f>
        <v>737</v>
      </c>
      <c r="F11" s="403">
        <f>IF(ISNUMBER(E11/B11),E11/B11," - ")</f>
        <v>245.66666666666666</v>
      </c>
      <c r="G11" s="402">
        <f>IF(ISNUMBER(IF(J_V="SI",Datos!K11,Datos!K11+Datos!AA11)),IF(J_V="SI",Datos!K11,Datos!K11+Datos!AA11)," - ")</f>
        <v>815</v>
      </c>
      <c r="H11" s="403">
        <f>IF(ISNUMBER(G11/B11),G11/B11," - ")</f>
        <v>271.66666666666669</v>
      </c>
      <c r="I11" s="402">
        <f>IF(ISNUMBER(IF(J_V="SI",Datos!L11,Datos!L11+Datos!AB11)),IF(J_V="SI",Datos!L11,Datos!L11+Datos!AB11)," - ")</f>
        <v>1122</v>
      </c>
      <c r="J11" s="403">
        <f>IF(ISNUMBER(I11/B11),I11/B11," - ")</f>
        <v>374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12</v>
      </c>
      <c r="C13" s="846">
        <f>SUBTOTAL(9,C8:C12)</f>
        <v>12253</v>
      </c>
      <c r="D13" s="847" t="str">
        <f>IF(ISNUMBER(C13/Datos!BI13),C13/Datos!BI13," - ")</f>
        <v xml:space="preserve"> - </v>
      </c>
      <c r="E13" s="846">
        <f>SUBTOTAL(9,E8:E12)</f>
        <v>3904</v>
      </c>
      <c r="F13" s="847">
        <f>IF(ISNUMBER(E13/B13),E13/B13," - ")</f>
        <v>325.33333333333331</v>
      </c>
      <c r="G13" s="846">
        <f>SUBTOTAL(9,G8:G12)</f>
        <v>4869</v>
      </c>
      <c r="H13" s="847">
        <f>IF(ISNUMBER(G13/B13),G13/B13," - ")</f>
        <v>405.75</v>
      </c>
      <c r="I13" s="846">
        <f>SUBTOTAL(9,I8:I12)</f>
        <v>11189</v>
      </c>
      <c r="J13" s="847">
        <f>IF(ISNUMBER(I13/B13),I13/B13," - ")</f>
        <v>932.41666666666663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2390</v>
      </c>
      <c r="D15" s="403">
        <f>IF(ISNUMBER(C15/Datos!BH15),C15/Datos!BH15," - ")</f>
        <v>398.33333333333331</v>
      </c>
      <c r="E15" s="402">
        <f>IF(ISNUMBER(IF(D_I="SI",Datos!J15,Datos!J15+Datos!AD15)),IF(D_I="SI",Datos!J15,Datos!J15+Datos!AD15)," - ")</f>
        <v>3122</v>
      </c>
      <c r="F15" s="403">
        <f>IF(ISNUMBER(E15/B15),E15/B15," - ")</f>
        <v>624.4</v>
      </c>
      <c r="G15" s="402">
        <f>IF(ISNUMBER(IF(D_I="SI",Datos!K15,Datos!K15+Datos!AE15)),IF(D_I="SI",Datos!K15,Datos!K15+Datos!AE15)," - ")</f>
        <v>3199</v>
      </c>
      <c r="H15" s="403">
        <f>IF(ISNUMBER(G15/B15),G15/B15," - ")</f>
        <v>639.79999999999995</v>
      </c>
      <c r="I15" s="402">
        <f>IF(ISNUMBER(IF(D_I="SI",Datos!L15,Datos!L15+Datos!AF15)),IF(D_I="SI",Datos!L15,Datos!L15+Datos!AF15)," - ")</f>
        <v>2373</v>
      </c>
      <c r="J15" s="403">
        <f>IF(ISNUMBER(I15/B15),I15/B15," - ")</f>
        <v>474.6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367</v>
      </c>
      <c r="D18" s="403">
        <f>IF(ISNUMBER(C18/Datos!BH18),C18/Datos!BH18," - ")</f>
        <v>367</v>
      </c>
      <c r="E18" s="402">
        <f>IF(ISNUMBER(IF(D_I="SI",Datos!J18,Datos!J18+Datos!AD18)),IF(D_I="SI",Datos!J18,Datos!J18+Datos!AD18)," - ")</f>
        <v>609</v>
      </c>
      <c r="F18" s="403">
        <f>IF(ISNUMBER(E18/B18),E18/B18," - ")</f>
        <v>304.5</v>
      </c>
      <c r="G18" s="402">
        <f>IF(ISNUMBER(IF(D_I="SI",Datos!K18,Datos!K18+Datos!AE18)),IF(D_I="SI",Datos!K18,Datos!K18+Datos!AE18)," - ")</f>
        <v>557</v>
      </c>
      <c r="H18" s="403">
        <f>IF(ISNUMBER(G18/B18),G18/B18," - ")</f>
        <v>278.5</v>
      </c>
      <c r="I18" s="402">
        <f>IF(ISNUMBER(IF(D_I="SI",Datos!L18,Datos!L18+Datos!AF18)),IF(D_I="SI",Datos!L18,Datos!L18+Datos!AF18)," - ")</f>
        <v>408</v>
      </c>
      <c r="J18" s="403">
        <f>IF(ISNUMBER(I18/B18),I18/B18," - ")</f>
        <v>204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2757</v>
      </c>
      <c r="D19" s="847" t="str">
        <f>IF(ISNUMBER(C19/Datos!BI19),C19/Datos!BI19," - ")</f>
        <v xml:space="preserve"> - </v>
      </c>
      <c r="E19" s="846">
        <f>SUBTOTAL(9,E14:E18)</f>
        <v>3731</v>
      </c>
      <c r="F19" s="847">
        <f>IF(ISNUMBER(E19/B19),E19/B19," - ")</f>
        <v>533</v>
      </c>
      <c r="G19" s="846">
        <f>SUBTOTAL(9,G14:G18)</f>
        <v>3756</v>
      </c>
      <c r="H19" s="847">
        <f>IF(ISNUMBER(G19/B19),G19/B19," - ")</f>
        <v>536.57142857142856</v>
      </c>
      <c r="I19" s="846">
        <f>SUBTOTAL(9,I14:I18)</f>
        <v>2781</v>
      </c>
      <c r="J19" s="847">
        <f>IF(ISNUMBER(I19/B19),I19/B19," - ")</f>
        <v>397.28571428571428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17</v>
      </c>
      <c r="C20" s="791">
        <f>SUBTOTAL(9,C9:C19)</f>
        <v>15010</v>
      </c>
      <c r="D20" s="792" t="str">
        <f>IF(ISNUMBER(C20/Datos!BI20),C20/Datos!BI20," - ")</f>
        <v xml:space="preserve"> - </v>
      </c>
      <c r="E20" s="791">
        <f>SUBTOTAL(9,E9:E19)</f>
        <v>7635</v>
      </c>
      <c r="F20" s="792">
        <f>IF(ISNUMBER(E20/B20),E20/B20," - ")</f>
        <v>449.11764705882354</v>
      </c>
      <c r="G20" s="791">
        <f>SUBTOTAL(9,G9:G19)</f>
        <v>8625</v>
      </c>
      <c r="H20" s="792">
        <f>IF(ISNUMBER(G20/B20),G20/B20," - ")</f>
        <v>507.35294117647061</v>
      </c>
      <c r="I20" s="791">
        <f>SUBTOTAL(9,I9:I19)</f>
        <v>13970</v>
      </c>
      <c r="J20" s="792">
        <f>IF(ISNUMBER(I20/B20),I20/B20," - ")</f>
        <v>821.76470588235293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Txo/67Dgi4ZH5xXlbNwtx8GneWru+sVCn+t6TdA4XVJ9OJcP+cfRpuWNrw6eUXcjaYILOY6LO1cRFhH9pnAgQ==" saltValue="J0EDUkpXPEyAyKZATmAl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MOSTOLES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132</v>
      </c>
      <c r="G10" s="681">
        <f>IF(ISNUMBER(Datos!I10),Datos!I10," - ")</f>
        <v>132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55</v>
      </c>
      <c r="AC10" s="680" t="str">
        <f>IF(ISNUMBER(IF(D_I="SI",DatosP!K18,DatosP!K18+DatosP!AE18)),IF(D_I="SI",DatosP!K18,DatosP!K18+DatosP!AE18)," - ")</f>
        <v xml:space="preserve"> - </v>
      </c>
      <c r="AD10" s="682"/>
      <c r="AE10" s="682"/>
      <c r="AF10" s="685">
        <f>IF(ISNUMBER(Datos!L10),Datos!L10,"-")</f>
        <v>135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20</v>
      </c>
      <c r="AM10" s="687">
        <f>IF(ISNUMBER(Datos!N10+DatosP!N18),Datos!N10+DatosP!N18," - ")</f>
        <v>21</v>
      </c>
      <c r="AN10" s="687">
        <f>IF(ISNUMBER(Datos!BW10+DatosP!BW18),Datos!BW10+DatosP!BW18," - ")</f>
        <v>0</v>
      </c>
      <c r="AO10" s="688">
        <f>IF(ISNUMBER(Datos!BX10+DatosP!BX18),Datos!BX10+DatosP!BX18," - ")</f>
        <v>0</v>
      </c>
      <c r="AP10" s="690">
        <f>IF(ISNUMBER(((Datos!L10/Datos!K10)*11)/factor_trimestre),((Datos!L10/Datos!K10)*11)/factor_trimestre," - ")</f>
        <v>7.3636363636363642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11</v>
      </c>
      <c r="F13" s="933">
        <f t="shared" si="0"/>
        <v>132</v>
      </c>
      <c r="G13" s="933">
        <f t="shared" si="0"/>
        <v>132</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55</v>
      </c>
      <c r="AC13" s="934">
        <f t="shared" si="1"/>
        <v>0</v>
      </c>
      <c r="AD13" s="934">
        <f t="shared" si="1"/>
        <v>0</v>
      </c>
      <c r="AE13" s="934">
        <f t="shared" si="1"/>
        <v>0</v>
      </c>
      <c r="AF13" s="934">
        <f t="shared" si="1"/>
        <v>135</v>
      </c>
      <c r="AG13" s="934">
        <f t="shared" si="1"/>
        <v>0</v>
      </c>
      <c r="AH13" s="934">
        <f t="shared" si="1"/>
        <v>0</v>
      </c>
      <c r="AI13" s="934">
        <f t="shared" si="1"/>
        <v>0</v>
      </c>
      <c r="AJ13" s="934">
        <f t="shared" si="1"/>
        <v>0</v>
      </c>
      <c r="AK13" s="934">
        <f t="shared" si="1"/>
        <v>0</v>
      </c>
      <c r="AL13" s="934">
        <f t="shared" si="1"/>
        <v>20</v>
      </c>
      <c r="AM13" s="934">
        <f t="shared" si="1"/>
        <v>21</v>
      </c>
      <c r="AN13" s="934">
        <f t="shared" si="1"/>
        <v>0</v>
      </c>
      <c r="AO13" s="934">
        <f t="shared" si="1"/>
        <v>0</v>
      </c>
      <c r="AP13" s="939">
        <f>IF(ISNUMBER(((Datos!L13/Datos!K13)*11)/factor_trimestre),((Datos!L13/Datos!K13)*11)/factor_trimestre," - ")</f>
        <v>7.256719817767654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-0.41666666666666669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2.2212460063897765</v>
      </c>
      <c r="AQ19" s="939">
        <f>IF(ISNUMBER(((Datos!M19/Datos!L19)*11)/factor_trimestre),((Datos!M19/Datos!L19)*11)/factor_trimestre," - ")</f>
        <v>0.23085221143473575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-0.21967213114754097</v>
      </c>
      <c r="AW19" s="941">
        <f>IF(ISNUMBER((Datos!Q19-Datos!R19)/(Datos!S19-Datos!Q19+Datos!R19)),(Datos!Q19-Datos!R19)/(Datos!S19-Datos!Q19+Datos!R19)," - ")</f>
        <v>-3.2584269662921349E-2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11</v>
      </c>
      <c r="F20" s="946">
        <f t="shared" si="4"/>
        <v>132</v>
      </c>
      <c r="G20" s="946">
        <f t="shared" si="4"/>
        <v>132</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55</v>
      </c>
      <c r="AC20" s="952">
        <f t="shared" si="5"/>
        <v>0</v>
      </c>
      <c r="AD20" s="952">
        <f t="shared" si="5"/>
        <v>0</v>
      </c>
      <c r="AE20" s="952">
        <f t="shared" si="5"/>
        <v>0</v>
      </c>
      <c r="AF20" s="953">
        <f t="shared" si="5"/>
        <v>135</v>
      </c>
      <c r="AG20" s="953">
        <f t="shared" si="5"/>
        <v>0</v>
      </c>
      <c r="AH20" s="953">
        <f t="shared" si="5"/>
        <v>0</v>
      </c>
      <c r="AI20" s="953">
        <f t="shared" si="5"/>
        <v>0</v>
      </c>
      <c r="AJ20" s="954">
        <f t="shared" si="5"/>
        <v>0</v>
      </c>
      <c r="AK20" s="954">
        <f t="shared" si="5"/>
        <v>0</v>
      </c>
      <c r="AL20" s="946">
        <f t="shared" si="5"/>
        <v>20</v>
      </c>
      <c r="AM20" s="946">
        <f t="shared" si="5"/>
        <v>21</v>
      </c>
      <c r="AN20" s="946">
        <f t="shared" si="5"/>
        <v>0</v>
      </c>
      <c r="AO20" s="946">
        <f t="shared" si="5"/>
        <v>0</v>
      </c>
      <c r="AP20" s="946">
        <f>IF(ISNUMBER(((Datos!L20/Datos!K20)*11)/factor_trimestre),((Datos!L20/Datos!K20)*11)/factor_trimestre," - ")</f>
        <v>4.9349373925853186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-0.41666666666666669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-3.0462557671832487E-2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4.4121045620731456</v>
      </c>
      <c r="F22" s="733">
        <f>IF(ISNUMBER(STDEV(F8:F19)),STDEV(F8:F19),"-")</f>
        <v>76.210235533030598</v>
      </c>
      <c r="G22" s="734">
        <f>IF(ISNUMBER(STDEV(G8:G19)),STDEV(G8:G19),"-")</f>
        <v>76.210235533030598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31.754264805429415</v>
      </c>
      <c r="AC22" s="735">
        <f>IF(ISNUMBER(STDEV(AC8:AC19)),STDEV(AC8:AC19),"-")</f>
        <v>0</v>
      </c>
      <c r="AD22" s="738"/>
      <c r="AE22" s="738"/>
      <c r="AF22" s="738"/>
      <c r="AG22" s="738"/>
      <c r="AH22" s="738"/>
      <c r="AI22" s="738"/>
      <c r="AJ22" s="739">
        <f>IF(ISNUMBER(STDEV(AJ8:AJ19)),STDEV(AJ8:AJ19),"-")</f>
        <v>0</v>
      </c>
      <c r="AK22" s="741"/>
      <c r="AL22" s="733">
        <f>IF(ISNUMBER(STDEV(AL8:AL19)),STDEV(AL8:AL19),"-")</f>
        <v>11.547005383792515</v>
      </c>
      <c r="AM22" s="733"/>
      <c r="AN22" s="733">
        <f>IF(ISNUMBER(STDEV(AN8:AN19)),STDEV(AN8:AN19),"-")</f>
        <v>0</v>
      </c>
      <c r="AO22" s="739">
        <f>IF(ISNUMBER(STDEV(AO8:AO19)),STDEV(AO8:AO19),"-")</f>
        <v>0</v>
      </c>
      <c r="AP22" s="776">
        <f>IF(ISNUMBER(STDEV(AP8:AP19)),STDEV(AP8:AP19),"-")</f>
        <v>2.9385826016169636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xaMmR2Xv5avDr9u7iF6gXS1t8RwErciVZ7cjM3kkcsg2y6a4XtJ4h5kANFFYbiUHDCYv3Goq4/wPV7ge975Pw==" saltValue="Hq46fVVQn5kkd8xJgnN3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MOSTOLES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112</v>
      </c>
      <c r="O9" s="333"/>
      <c r="P9" s="333"/>
      <c r="Q9" s="225">
        <f>IF(ISNUMBER(Datos!P9),Datos!P9,0)</f>
        <v>686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1081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146</v>
      </c>
      <c r="AI9" s="224" t="str">
        <f>IF(ISNUMBER(Datos!CD9),Datos!CD9,"-")</f>
        <v>-</v>
      </c>
      <c r="AJ9" s="1214" t="str">
        <f>IF(ISNUMBER(Datos!EN9),Datos!EN9," - ")</f>
        <v xml:space="preserve"> - </v>
      </c>
      <c r="AK9" s="333"/>
      <c r="AL9" s="478"/>
      <c r="AM9" s="1214">
        <f>IF(ISNUMBER(Datos!R9),Datos!R9," - ")</f>
        <v>14887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964</v>
      </c>
      <c r="BD9" s="228">
        <f>IF(ISNUMBER(Datos!N9),Datos!N9," - ")</f>
        <v>1966</v>
      </c>
      <c r="BE9" s="1214" t="str">
        <f>IF(ISNUMBER(Datos!BW9),Datos!BW9," - ")</f>
        <v xml:space="preserve"> - </v>
      </c>
      <c r="BF9" s="1214" t="str">
        <f>IF(ISNUMBER(Datos!BX9),Datos!BX9," - ")</f>
        <v xml:space="preserve"> - </v>
      </c>
      <c r="BG9" s="242">
        <f>IF(ISNUMBER(IF(J_V="SI",Datos!K9/Datos!J9,(Datos!K9+Datos!AA9)/(Datos!J9+Datos!Z9))),IF(J_V="SI",Datos!K9/Datos!J9,(Datos!K9+Datos!AA9)/(Datos!J9+Datos!Z9))," - ")</f>
        <v>1.2862656802830492</v>
      </c>
      <c r="BH9" s="1214">
        <f>IF(ISNUMBER(((IF(J_V="SI",Datos!L9/Datos!K9,(Datos!L9+Datos!AB9)/(Datos!K9+Datos!AA9)))*11)/factor_trimestre),((IF(J_V="SI",Datos!L9/Datos!K9,(Datos!L9+Datos!AB9)/(Datos!K9+Datos!AA9)))*11)/factor_trimestre," - ")</f>
        <v>7.4508627156789196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-2.5847402172490513E-2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1323.8440334101351</v>
      </c>
      <c r="CF9" s="228">
        <f ca="1">AVERAGEIFS($AB:$AB,$BW:$BW,BW9,$BX:$BX,BX9)</f>
        <v>1323.8440334101351</v>
      </c>
      <c r="CG9" s="1191">
        <v>0.7</v>
      </c>
      <c r="CH9" s="1191">
        <f ca="1">AVERAGEIF($BW:$BW,$BW9,$AC:$AC)</f>
        <v>370.90909090909093</v>
      </c>
      <c r="CI9" s="228">
        <f ca="1">AVERAGEIFS($AC:$AC,$BW:$BW,$BW9,$BX:$BX,$BX9)</f>
        <v>370.90909090909093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972</v>
      </c>
      <c r="CR9" s="228">
        <f ca="1">AVERAGEIFS($AF:$AF,$BW:$BW,BW9,$BX:$BX,BX9)</f>
        <v>972</v>
      </c>
      <c r="CS9" s="1191">
        <v>1.3</v>
      </c>
      <c r="CT9" s="1191">
        <v>1.5</v>
      </c>
      <c r="CU9" s="1191">
        <f ca="1">AVERAGEIF($BW:$BW,$BW9,$AH:$AH)</f>
        <v>213.75</v>
      </c>
      <c r="CV9" s="228">
        <f ca="1">AVERAGEIFS($AH:$AH,$BW:$BW,$BW9,$BX:$BX,$BX9)</f>
        <v>213.75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4470.272727272727</v>
      </c>
      <c r="DH9" s="1218">
        <f ca="1">AVERAGEIFS($AM:$AM,$BW:$BW,$BW9,$BX:$BX,$BX9)</f>
        <v>4470.272727272727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3.3636718859259189</v>
      </c>
      <c r="ER9" s="1218">
        <f ca="1">AVERAGEIFS($BH:$BH,$BW:$BW,$BW9,$BX:$BX,$BX9)</f>
        <v>3.3636718859259189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132</v>
      </c>
      <c r="G10" s="332">
        <f>IF(ISNUMBER(Datos!I10),Datos!I10," - ")</f>
        <v>132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55</v>
      </c>
      <c r="AC10" s="224">
        <f>IF(ISNUMBER(Datos!Q10),Datos!Q10," - ")</f>
        <v>5</v>
      </c>
      <c r="AD10" s="224"/>
      <c r="AE10" s="224"/>
      <c r="AF10" s="224">
        <f>IF(ISNUMBER(Datos!L10),Datos!L10,"-")</f>
        <v>135</v>
      </c>
      <c r="AG10" s="333"/>
      <c r="AH10" s="224"/>
      <c r="AI10" s="224"/>
      <c r="AJ10" s="1214"/>
      <c r="AK10" s="333"/>
      <c r="AL10" s="478"/>
      <c r="AM10" s="1214">
        <f>IF(ISNUMBER(Datos!R10),Datos!R10," - ")</f>
        <v>125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20</v>
      </c>
      <c r="BD10" s="228">
        <f>IF(ISNUMBER(Datos!N10),Datos!N10," - ")</f>
        <v>21</v>
      </c>
      <c r="BE10" s="1214" t="str">
        <f>IF(ISNUMBER(Datos!BW10),Datos!BW10," - ")</f>
        <v xml:space="preserve"> - </v>
      </c>
      <c r="BF10" s="1214" t="str">
        <f>IF(ISNUMBER(Datos!BX10),Datos!BX10," - ")</f>
        <v xml:space="preserve"> - </v>
      </c>
      <c r="BG10" s="242">
        <f>IF(ISNUMBER(Datos!K10/Datos!J10),Datos!K10/Datos!J10," - ")</f>
        <v>0.94827586206896552</v>
      </c>
      <c r="BH10" s="1214">
        <f>IF(ISNUMBER(((Datos!L10/Datos!K10)*11)/factor_trimestre),((Datos!L10/Datos!K10)*11)/factor_trimestre," - ")</f>
        <v>7.3636363636363642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5.0420168067226892E-2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1323.8440334101351</v>
      </c>
      <c r="CF10" s="228">
        <f ca="1">AVERAGEIFS($AB:$AB,$BW:$BW,BW10,$BX:$BX,BX10)</f>
        <v>1323.8440334101351</v>
      </c>
      <c r="CG10" s="1191">
        <v>0.7</v>
      </c>
      <c r="CH10" s="1191">
        <f ca="1">AVERAGEIF($BW:$BW,BW10,$AC:$AC)</f>
        <v>370.90909090909093</v>
      </c>
      <c r="CI10" s="228">
        <f ca="1">AVERAGEIFS($AC:$AC,$BW:$BW,BW10,$BX:$BX,BX10)</f>
        <v>370.90909090909093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972</v>
      </c>
      <c r="CR10" s="228">
        <f ca="1">AVERAGEIFS($AF:$AF,$BW:$BW,BW10,$BX:$BX,BX10)</f>
        <v>972</v>
      </c>
      <c r="CS10" s="1191">
        <v>1.3</v>
      </c>
      <c r="CT10" s="1191">
        <v>1.5</v>
      </c>
      <c r="CU10" s="1191">
        <f ca="1">AVERAGEIF($BW:$BW,$BW10,$AH:$AH)</f>
        <v>213.75</v>
      </c>
      <c r="CV10" s="228">
        <f ca="1">AVERAGEIFS($AH:$AH,$BW:$BW,$BW10,$BX:$BX,$BX10)</f>
        <v>213.75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4470.272727272727</v>
      </c>
      <c r="DH10" s="1218">
        <f ca="1">AVERAGEIFS($AM:$AM,$BW:$BW,$BW10,$BX:$BX,$BX10)</f>
        <v>4470.272727272727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3.3636718859259189</v>
      </c>
      <c r="ER10" s="1218">
        <f ca="1">AVERAGEIFS($BH:$BH,$BW:$BW,$BW10,$BX:$BX,$BX10)</f>
        <v>3.3636718859259189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364</v>
      </c>
      <c r="O11" s="333"/>
      <c r="P11" s="333"/>
      <c r="Q11" s="225">
        <f>IF(ISNUMBER(Datos!P11),Datos!P11,0)</f>
        <v>64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123</v>
      </c>
      <c r="AD11" s="224"/>
      <c r="AE11" s="224"/>
      <c r="AF11" s="224" t="str">
        <f>IF(ISNUMBER(IF(J_V="SI",Datos!L11,Datos!L11+Datos!AB11)-IF(Monitorios="SI",Datos!CD11,0)),
                          IF(J_V="SI",Datos!L11,Datos!L11+Datos!AB11)-IF(Monitorios="SI",Datos!CD11,0),
                          " - ")</f>
        <v xml:space="preserve"> - </v>
      </c>
      <c r="AG11" s="333"/>
      <c r="AH11" s="224">
        <f>IF(ISNUMBER(Datos!AB11),Datos!AB11,"-")</f>
        <v>424</v>
      </c>
      <c r="AI11" s="224"/>
      <c r="AJ11" s="1214"/>
      <c r="AK11" s="333"/>
      <c r="AL11" s="478"/>
      <c r="AM11" s="1214">
        <f>IF(ISNUMBER(Datos!R11),Datos!R11," - ")</f>
        <v>1141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195</v>
      </c>
      <c r="BD11" s="228">
        <f>IF(ISNUMBER(Datos!N11),Datos!N11," - ")</f>
        <v>500</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1.1058344640434192</v>
      </c>
      <c r="BH11" s="1214">
        <f>IF(ISNUMBER(((IF(J_V="SI",Datos!L11/Datos!K11,(Datos!L11+Datos!AB11)/(Datos!K11+Datos!AA11)))*11)/factor_trimestre),((IF(J_V="SI",Datos!L11/Datos!K11,(Datos!L11+Datos!AB11)/(Datos!K11+Datos!AA11)))*11)/factor_trimestre," - ")</f>
        <v>4.1300613496932517</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-4.9166666666666664E-2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1323.8440334101351</v>
      </c>
      <c r="CF11" s="228">
        <f ca="1">AVERAGEIFS($AB:$AB,$BW:$BW,BW11,$BX:$BX,BX11)</f>
        <v>1323.8440334101351</v>
      </c>
      <c r="CG11" s="1191">
        <v>0.7</v>
      </c>
      <c r="CH11" s="1191">
        <f ca="1">AVERAGEIF($BW:$BW,BW11,$AC:$AC)</f>
        <v>370.90909090909093</v>
      </c>
      <c r="CI11" s="228">
        <f ca="1">AVERAGEIFS($AC:$AC,$BW:$BW,BW11,$BX:$BX,BX11)</f>
        <v>370.90909090909093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972</v>
      </c>
      <c r="CR11" s="228">
        <f ca="1">AVERAGEIFS($AF:$AF,$BW:$BW,BW11,$BX:$BX,BX11)</f>
        <v>972</v>
      </c>
      <c r="CS11" s="1191">
        <v>1.3</v>
      </c>
      <c r="CT11" s="1191">
        <v>1.5</v>
      </c>
      <c r="CU11" s="1191">
        <f ca="1">AVERAGEIF($BW:$BW,$BW11,$AH:$AH)</f>
        <v>213.75</v>
      </c>
      <c r="CV11" s="228">
        <f ca="1">AVERAGEIFS($AH:$AH,$BW:$BW,$BW11,$BX:$BX,$BX11)</f>
        <v>213.75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4470.272727272727</v>
      </c>
      <c r="DH11" s="1218">
        <f ca="1">AVERAGEIFS($AM:$AM,$BW:$BW,$BW11,$BX:$BX,$BX11)</f>
        <v>4470.272727272727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3.3636718859259189</v>
      </c>
      <c r="ER11" s="1218">
        <f ca="1">AVERAGEIFS($BH:$BH,$BW:$BW,$BW11,$BX:$BX,$BX11)</f>
        <v>3.3636718859259189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1323.8440334101351</v>
      </c>
      <c r="CF12" s="228">
        <f ca="1">AVERAGEIFS($AB:$AB,$BW:$BW,BW12,$BX:$BX,BX12)</f>
        <v>1323.8440334101351</v>
      </c>
      <c r="CG12" s="1191">
        <v>0.7</v>
      </c>
      <c r="CH12" s="1191">
        <f ca="1">AVERAGEIF($BW:$BW,BW12,$AC:$AC)</f>
        <v>370.90909090909093</v>
      </c>
      <c r="CI12" s="228">
        <f ca="1">AVERAGEIFS($AC:$AC,$BW:$BW,BW12,$BX:$BX,BX12)</f>
        <v>370.90909090909093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972</v>
      </c>
      <c r="CR12" s="228">
        <f ca="1">AVERAGEIFS($AF:$AF,$BW:$BW,BW12,$BX:$BX,BX12)</f>
        <v>972</v>
      </c>
      <c r="CS12" s="1191">
        <v>1.3</v>
      </c>
      <c r="CT12" s="1191">
        <v>1.5</v>
      </c>
      <c r="CU12" s="1191">
        <f ca="1">AVERAGEIF($BW:$BW,$BW12,$AH:$AH)</f>
        <v>213.75</v>
      </c>
      <c r="CV12" s="228">
        <f ca="1">AVERAGEIFS($AH:$AH,$BW:$BW,$BW12,$BX:$BX,$BX12)</f>
        <v>213.75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4470.272727272727</v>
      </c>
      <c r="DH12" s="1218">
        <f ca="1">AVERAGEIFS($AM:$AM,$BW:$BW,$BW12,$BX:$BX,$BX12)</f>
        <v>4470.272727272727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3.3636718859259189</v>
      </c>
      <c r="ER12" s="1218">
        <f ca="1">AVERAGEIFS($BH:$BH,$BW:$BW,$BW12,$BX:$BX,$BX12)</f>
        <v>3.3636718859259189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11</v>
      </c>
      <c r="F13" s="895">
        <f t="shared" si="1"/>
        <v>132</v>
      </c>
      <c r="G13" s="895">
        <f t="shared" si="1"/>
        <v>132</v>
      </c>
      <c r="H13" s="896">
        <f t="shared" si="1"/>
        <v>0</v>
      </c>
      <c r="I13" s="895">
        <f t="shared" si="1"/>
        <v>0</v>
      </c>
      <c r="J13" s="864">
        <f t="shared" si="1"/>
        <v>0</v>
      </c>
      <c r="K13" s="864">
        <f t="shared" si="1"/>
        <v>0</v>
      </c>
      <c r="L13" s="896">
        <f t="shared" si="1"/>
        <v>0</v>
      </c>
      <c r="M13" s="896">
        <f t="shared" si="1"/>
        <v>0</v>
      </c>
      <c r="N13" s="896">
        <f t="shared" si="1"/>
        <v>476</v>
      </c>
      <c r="O13" s="897">
        <f t="shared" si="1"/>
        <v>0</v>
      </c>
      <c r="P13" s="897">
        <f t="shared" si="1"/>
        <v>0</v>
      </c>
      <c r="Q13" s="896">
        <f t="shared" si="1"/>
        <v>761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55</v>
      </c>
      <c r="AC13" s="896">
        <f t="shared" si="2"/>
        <v>1209</v>
      </c>
      <c r="AD13" s="896">
        <f t="shared" si="2"/>
        <v>0</v>
      </c>
      <c r="AE13" s="896">
        <f t="shared" si="2"/>
        <v>0</v>
      </c>
      <c r="AF13" s="896">
        <f t="shared" si="2"/>
        <v>135</v>
      </c>
      <c r="AG13" s="896">
        <f t="shared" si="2"/>
        <v>0</v>
      </c>
      <c r="AH13" s="896">
        <f t="shared" si="2"/>
        <v>570</v>
      </c>
      <c r="AI13" s="896">
        <f t="shared" si="2"/>
        <v>0</v>
      </c>
      <c r="AJ13" s="896">
        <f t="shared" si="2"/>
        <v>0</v>
      </c>
      <c r="AK13" s="896">
        <f t="shared" si="2"/>
        <v>0</v>
      </c>
      <c r="AL13" s="896">
        <f t="shared" si="2"/>
        <v>0</v>
      </c>
      <c r="AM13" s="896">
        <f t="shared" si="2"/>
        <v>16153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1179</v>
      </c>
      <c r="BD13" s="896">
        <f t="shared" si="2"/>
        <v>2487</v>
      </c>
      <c r="BE13" s="896">
        <f t="shared" si="2"/>
        <v>0</v>
      </c>
      <c r="BF13" s="896">
        <f t="shared" si="2"/>
        <v>0</v>
      </c>
      <c r="BG13" s="896">
        <f>IF(ISNUMBER(Datos!K13/Datos!J13),Datos!K13/Datos!J13," - ")</f>
        <v>1.2806301050175029</v>
      </c>
      <c r="BH13" s="900">
        <f>IF(ISNUMBER(((Datos!L13/Datos!K13)*11)/factor_trimestre),((Datos!L13/Datos!K13)*11)/factor_trimestre," - ")</f>
        <v>7.256719817767654</v>
      </c>
      <c r="BI13" s="896">
        <f>IF(ISNUMBER('Resol  Asuntos'!D13/NºAsuntos!G13),'Resol  Asuntos'!D13/NºAsuntos!G13," - ")</f>
        <v>0.24214417744916822</v>
      </c>
      <c r="BJ13" s="896" t="str">
        <f>IF(ISNUMBER(Datos!CI13/Datos!CJ13),Datos!CI13/Datos!CJ13," - ")</f>
        <v xml:space="preserve"> - </v>
      </c>
      <c r="BK13" s="896">
        <f>SUBTOTAL(9,BK8:BK12)</f>
        <v>0</v>
      </c>
      <c r="BL13" s="896">
        <f>IF(ISNUMBER((I13-AB13+L13)/(F13)),(I13-AB13+L13)/(F13)," - ")</f>
        <v>-0.41666666666666669</v>
      </c>
      <c r="BM13" s="901">
        <f>SUBTOTAL(9,BM9:BM12)</f>
        <v>-2.4593900771930285E-2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2450</v>
      </c>
      <c r="G15" s="596">
        <f>IF(ISNUMBER(IF(D_I="SI",Datos!I15,Datos!I15+Datos!AC15)),IF(D_I="SI",Datos!I15,Datos!I15+Datos!AC15)," - ")</f>
        <v>2390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84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3199</v>
      </c>
      <c r="AC15" s="224">
        <f>IF(ISNUMBER(Datos!Q15),Datos!Q15," - ")</f>
        <v>145</v>
      </c>
      <c r="AD15" s="224"/>
      <c r="AE15" s="224"/>
      <c r="AF15" s="224">
        <f>IF(ISNUMBER(IF(D_I="SI",Datos!L15,Datos!L15+Datos!AF15)),IF(D_I="SI",Datos!L15,Datos!L15+Datos!AF15)," - ")</f>
        <v>2373</v>
      </c>
      <c r="AG15" s="333"/>
      <c r="AH15" s="224"/>
      <c r="AI15" s="224"/>
      <c r="AJ15" s="1214"/>
      <c r="AK15" s="333"/>
      <c r="AL15" s="478"/>
      <c r="AM15" s="1214">
        <f>IF(ISNUMBER(Datos!R15),Datos!R15," - ")</f>
        <v>233</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198</v>
      </c>
      <c r="BD15" s="228">
        <f>IF(ISNUMBER(Datos!N15),Datos!N15," - ")</f>
        <v>2169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1.0246636771300448</v>
      </c>
      <c r="BH15" s="1214">
        <f>IF(ISNUMBER(((IF(D_I="SI",Datos!L15/Datos!K15,(Datos!L15+Datos!AF15)/(Datos!K15+Datos!AE15)))*11)/factor_trimestre),((IF(D_I="SI",Datos!L15/Datos!K15,(Datos!L15+Datos!AF15)/(Datos!K15+Datos!AE15)))*11)/factor_trimestre," - ")</f>
        <v>2.2253829321663021</v>
      </c>
      <c r="BI15" s="242">
        <f>IF(ISNUMBER('Resol  Asuntos'!D15/NºAsuntos!G15),'Resol  Asuntos'!D15/NºAsuntos!G15," - ")</f>
        <v>6.1894341981869334E-2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1323.8440334101351</v>
      </c>
      <c r="CF15" s="228">
        <f ca="1">AVERAGEIFS($AB:$AB,$BW:$BW,BW15,$BX:$BX,BX15)</f>
        <v>1323.8440334101351</v>
      </c>
      <c r="CG15" s="1191">
        <v>0.7</v>
      </c>
      <c r="CH15" s="1191">
        <f ca="1">AVERAGEIF($BW:$BW,BW15,$AC:$AC)</f>
        <v>370.90909090909093</v>
      </c>
      <c r="CI15" s="228">
        <f ca="1">AVERAGEIFS($AC:$AC,$BW:$BW,BW15,$BX:$BX,BX15)</f>
        <v>370.90909090909093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972</v>
      </c>
      <c r="CR15" s="228">
        <f ca="1">AVERAGEIFS($AF:$AF,$BW:$BW,BW15,$BX:$BX,BX15)</f>
        <v>972</v>
      </c>
      <c r="CS15" s="1191">
        <v>1.3</v>
      </c>
      <c r="CT15" s="1191">
        <v>1.5</v>
      </c>
      <c r="CU15" s="1191">
        <f ca="1">AVERAGEIF($BW:$BW,$BW15,$AH:$AH)</f>
        <v>213.75</v>
      </c>
      <c r="CV15" s="228">
        <f ca="1">AVERAGEIFS($AH:$AH,$BW:$BW,$BW15,$BX:$BX,$BX15)</f>
        <v>213.75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4470.272727272727</v>
      </c>
      <c r="DH15" s="1218">
        <f ca="1">AVERAGEIFS($AM:$AM,$BW:$BW,$BW15,$BX:$BX,$BX15)</f>
        <v>4470.272727272727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3.3636718859259189</v>
      </c>
      <c r="ER15" s="1218">
        <f ca="1">AVERAGEIFS($BH:$BH,$BW:$BW,$BW15,$BX:$BX,$BX15)</f>
        <v>3.3636718859259189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1323.8440334101351</v>
      </c>
      <c r="CF16" s="1218">
        <f ca="1">AVERAGEIFS($AB:$AB,$BW:$BW,BW16,$BX:$BX,BX16)</f>
        <v>1323.8440334101351</v>
      </c>
      <c r="CG16" s="1191">
        <v>0.7</v>
      </c>
      <c r="CH16" s="1191">
        <f ca="1">AVERAGEIF($BW:$BW,BW16,$AC:$AC)</f>
        <v>370.90909090909093</v>
      </c>
      <c r="CI16" s="1218">
        <f ca="1">AVERAGEIFS($AC:$AC,$BW:$BW,BW16,$BX:$BX,BX16)</f>
        <v>370.90909090909093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972</v>
      </c>
      <c r="CR16" s="1218">
        <f ca="1">AVERAGEIFS($AF:$AF,$BW:$BW,BW16,$BX:$BX,BX16)</f>
        <v>972</v>
      </c>
      <c r="CS16" s="1191">
        <v>1.3</v>
      </c>
      <c r="CT16" s="1191">
        <v>1.5</v>
      </c>
      <c r="CU16" s="1191">
        <f ca="1">AVERAGEIF($BW:$BW,$BW16,$AH:$AH)</f>
        <v>213.75</v>
      </c>
      <c r="CV16" s="1218">
        <f ca="1">AVERAGEIFS($AH:$AH,$BW:$BW,$BW16,$BX:$BX,$BX16)</f>
        <v>213.75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4470.272727272727</v>
      </c>
      <c r="DH16" s="1218">
        <f ca="1">AVERAGEIFS($AM:$AM,$BW:$BW,$BW16,$BX:$BX,$BX16)</f>
        <v>4470.272727272727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3.3636718859259189</v>
      </c>
      <c r="ER16" s="1218">
        <f ca="1">AVERAGEIFS($BH:$BH,$BW:$BW,$BW16,$BX:$BX,$BX16)</f>
        <v>3.3636718859259189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1323.8440334101351</v>
      </c>
      <c r="CF17" s="228">
        <f ca="1">AVERAGEIFS($AB:$AB,$BW:$BW,BW17,$BX:$BX,BX17)</f>
        <v>1323.8440334101351</v>
      </c>
      <c r="CG17" s="1191">
        <v>0.7</v>
      </c>
      <c r="CH17" s="1191">
        <f ca="1">AVERAGEIF($BW:$BW,BW17,$AC:$AC)</f>
        <v>370.90909090909093</v>
      </c>
      <c r="CI17" s="228">
        <f ca="1">AVERAGEIFS($AC:$AC,$BW:$BW,BW17,$BX:$BX,BX17)</f>
        <v>370.90909090909093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972</v>
      </c>
      <c r="CR17" s="228">
        <f ca="1">AVERAGEIFS($AF:$AF,$BW:$BW,BW17,$BX:$BX,BX17)</f>
        <v>972</v>
      </c>
      <c r="CS17" s="1191">
        <v>1.3</v>
      </c>
      <c r="CT17" s="1191">
        <v>1.5</v>
      </c>
      <c r="CU17" s="1191">
        <f ca="1">AVERAGEIF($BW:$BW,$BW17,$AH:$AH)</f>
        <v>213.75</v>
      </c>
      <c r="CV17" s="228">
        <f ca="1">AVERAGEIFS($AH:$AH,$BW:$BW,$BW17,$BX:$BX,$BX17)</f>
        <v>213.75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4470.272727272727</v>
      </c>
      <c r="DH17" s="1218">
        <f ca="1">AVERAGEIFS($AM:$AM,$BW:$BW,$BW17,$BX:$BX,$BX17)</f>
        <v>4470.272727272727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3.3636718859259189</v>
      </c>
      <c r="ER17" s="1218">
        <f ca="1">AVERAGEIFS($BH:$BH,$BW:$BW,$BW17,$BX:$BX,$BX17)</f>
        <v>3.3636718859259189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557</v>
      </c>
      <c r="AC18" s="224">
        <f>IF(ISNUMBER(Datos!Q18),Datos!Q18," - ")</f>
        <v>6</v>
      </c>
      <c r="AD18" s="224"/>
      <c r="AE18" s="224"/>
      <c r="AF18" s="224">
        <f>IF(ISNUMBER(Datos!L18),Datos!L18,"-")</f>
        <v>408</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383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0.91461412151067323</v>
      </c>
      <c r="BH18" s="1214">
        <f>IF(ISNUMBER(((IF(D_I="SI",Datos!L18/Datos!K18,(Datos!L18+Datos!AF18)/(Datos!K18+Datos!AE18)))*11)/factor_trimestre),((IF(D_I="SI",Datos!L18/Datos!K18,(Datos!L18+Datos!AF18)/(Datos!K18+Datos!AE18)))*11)/factor_trimestre," - ")</f>
        <v>2.1974865350089767</v>
      </c>
      <c r="BI18" s="242">
        <f>IF(ISNUMBER('Resol  Asuntos'!D18/NºAsuntos!G18),'Resol  Asuntos'!D18/NºAsuntos!G18," - ")</f>
        <v>2.8725314183123879E-2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1323.8440334101351</v>
      </c>
      <c r="CF18" s="228">
        <f ca="1">AVERAGEIFS($AB:$AB,$BW:$BW,BW18,$BX:$BX,BX18)</f>
        <v>1323.8440334101351</v>
      </c>
      <c r="CG18" s="1191">
        <v>0.7</v>
      </c>
      <c r="CH18" s="1191">
        <f ca="1">AVERAGEIF($BW:$BW,BW18,$AC:$AC)</f>
        <v>370.90909090909093</v>
      </c>
      <c r="CI18" s="228">
        <f ca="1">AVERAGEIFS($AC:$AC,$BW:$BW,BW18,$BX:$BX,BX18)</f>
        <v>370.90909090909093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972</v>
      </c>
      <c r="CR18" s="228">
        <f ca="1">AVERAGEIFS($AF:$AF,$BW:$BW,BW18,$BX:$BX,BX18)</f>
        <v>972</v>
      </c>
      <c r="CS18" s="1191">
        <v>1.3</v>
      </c>
      <c r="CT18" s="1191">
        <v>1.5</v>
      </c>
      <c r="CU18" s="1191">
        <f ca="1">AVERAGEIF($BW:$BW,$BW18,$AH:$AH)</f>
        <v>213.75</v>
      </c>
      <c r="CV18" s="228">
        <f ca="1">AVERAGEIFS($AH:$AH,$BW:$BW,$BW18,$BX:$BX,$BX18)</f>
        <v>213.75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4470.272727272727</v>
      </c>
      <c r="DH18" s="1218">
        <f ca="1">AVERAGEIFS($AM:$AM,$BW:$BW,$BW18,$BX:$BX,$BX18)</f>
        <v>4470.272727272727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3.3636718859259189</v>
      </c>
      <c r="ER18" s="1218">
        <f ca="1">AVERAGEIFS($BH:$BH,$BW:$BW,$BW18,$BX:$BX,$BX18)</f>
        <v>3.3636718859259189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2450</v>
      </c>
      <c r="G19" s="895">
        <f>SUBTOTAL(9,G15:G18)</f>
        <v>2757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3756</v>
      </c>
      <c r="AC19" s="896">
        <f t="shared" si="5"/>
        <v>151</v>
      </c>
      <c r="AD19" s="896">
        <f t="shared" si="5"/>
        <v>0</v>
      </c>
      <c r="AE19" s="896">
        <f t="shared" si="5"/>
        <v>0</v>
      </c>
      <c r="AF19" s="896">
        <f t="shared" si="5"/>
        <v>2781</v>
      </c>
      <c r="AG19" s="896">
        <f t="shared" si="5"/>
        <v>0</v>
      </c>
      <c r="AH19" s="896">
        <f t="shared" si="5"/>
        <v>0</v>
      </c>
      <c r="AI19" s="896">
        <f t="shared" si="5"/>
        <v>0</v>
      </c>
      <c r="AJ19" s="896">
        <f t="shared" si="5"/>
        <v>0</v>
      </c>
      <c r="AK19" s="896">
        <f t="shared" si="5"/>
        <v>0</v>
      </c>
      <c r="AL19" s="896">
        <f t="shared" si="5"/>
        <v>0</v>
      </c>
      <c r="AM19" s="896">
        <f t="shared" si="5"/>
        <v>238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214</v>
      </c>
      <c r="BD19" s="896">
        <f t="shared" si="5"/>
        <v>2552</v>
      </c>
      <c r="BE19" s="896">
        <f t="shared" si="5"/>
        <v>0</v>
      </c>
      <c r="BF19" s="896">
        <f t="shared" si="5"/>
        <v>0</v>
      </c>
      <c r="BG19" s="896">
        <f>IF(ISNUMBER(Datos!K19/Datos!J19),Datos!K19/Datos!J19," - ")</f>
        <v>1.006700616456714</v>
      </c>
      <c r="BH19" s="900">
        <f>IF(ISNUMBER(((Datos!L19/Datos!K19)*11)/factor_trimestre),((Datos!L19/Datos!K19)*11)/factor_trimestre," - ")</f>
        <v>2.2212460063897765</v>
      </c>
      <c r="BI19" s="896">
        <f>SUBTOTAL(9,BI15:BI18)</f>
        <v>9.0619656164993206E-2</v>
      </c>
      <c r="BJ19" s="896">
        <f>SUBTOTAL(9,BJ15:BJ18)</f>
        <v>0</v>
      </c>
      <c r="BK19" s="896">
        <f>SUBTOTAL(9,BK15:BK18)</f>
        <v>0</v>
      </c>
      <c r="BL19" s="896">
        <f>IF(ISNUMBER((I19-AB19+L19)/(F19)),(I19-AB19+L19)/(F19)," - ")</f>
        <v>-1.5330612244897959</v>
      </c>
      <c r="BM19" s="902">
        <f>IF(ISNUMBER((Datos!P19-Datos!Q19)/(Datos!R19-Datos!P19+Datos!Q19)),(Datos!P19-Datos!Q19)/(Datos!R19-Datos!P19+Datos!Q19)," - ")</f>
        <v>-0.21967213114754097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2582</v>
      </c>
      <c r="G20" s="817">
        <f t="shared" si="7"/>
        <v>2889</v>
      </c>
      <c r="H20" s="819">
        <f t="shared" si="7"/>
        <v>0</v>
      </c>
      <c r="I20" s="817">
        <f t="shared" si="7"/>
        <v>0</v>
      </c>
      <c r="J20" s="819">
        <f t="shared" si="7"/>
        <v>0</v>
      </c>
      <c r="K20" s="819">
        <f t="shared" si="7"/>
        <v>0</v>
      </c>
      <c r="L20" s="878">
        <f t="shared" si="7"/>
        <v>0</v>
      </c>
      <c r="M20" s="878">
        <f t="shared" si="7"/>
        <v>0</v>
      </c>
      <c r="N20" s="878">
        <f t="shared" si="7"/>
        <v>476</v>
      </c>
      <c r="O20" s="878">
        <f t="shared" si="7"/>
        <v>0</v>
      </c>
      <c r="P20" s="878">
        <f t="shared" si="7"/>
        <v>0</v>
      </c>
      <c r="Q20" s="819">
        <f t="shared" si="7"/>
        <v>845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3811</v>
      </c>
      <c r="AC20" s="818">
        <f t="shared" si="8"/>
        <v>1360</v>
      </c>
      <c r="AD20" s="818">
        <f t="shared" si="8"/>
        <v>0</v>
      </c>
      <c r="AE20" s="818">
        <f t="shared" si="8"/>
        <v>0</v>
      </c>
      <c r="AF20" s="825">
        <f t="shared" si="8"/>
        <v>2916</v>
      </c>
      <c r="AG20" s="825">
        <f t="shared" si="8"/>
        <v>0</v>
      </c>
      <c r="AH20" s="825">
        <f t="shared" si="8"/>
        <v>570</v>
      </c>
      <c r="AI20" s="825">
        <f t="shared" si="8"/>
        <v>0</v>
      </c>
      <c r="AJ20" s="818">
        <f t="shared" si="8"/>
        <v>0</v>
      </c>
      <c r="AK20" s="825">
        <f t="shared" si="8"/>
        <v>0</v>
      </c>
      <c r="AL20" s="825">
        <f t="shared" si="8"/>
        <v>0</v>
      </c>
      <c r="AM20" s="825">
        <f t="shared" si="8"/>
        <v>16391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1393</v>
      </c>
      <c r="BD20" s="817">
        <f t="shared" si="8"/>
        <v>5039</v>
      </c>
      <c r="BE20" s="817">
        <f t="shared" si="8"/>
        <v>0</v>
      </c>
      <c r="BF20" s="827">
        <f t="shared" si="8"/>
        <v>0</v>
      </c>
      <c r="BG20" s="912">
        <f>IF(ISNUMBER(Datos!K20/Datos!J20),Datos!K20/Datos!J20," - ")</f>
        <v>1.1378684173767286</v>
      </c>
      <c r="BH20" s="912">
        <f>IF(ISNUMBER(((Datos!L20/Datos!K20)*11)/factor_trimestre),((Datos!L20/Datos!K20)*11)/factor_trimestre," - ")</f>
        <v>4.9349373925853186</v>
      </c>
      <c r="BI20" s="810">
        <f>IF(ISNUMBER(Datos!J20/Datos!I20),Datos!J20/Datos!I20," - ")</f>
        <v>0.49587864514788393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-1.475987606506584</v>
      </c>
      <c r="BM20" s="886">
        <f>IF(ISNUMBER((Datos!P20-Datos!Q20+R20)/(Datos!R20-Datos!P20+Datos!Q20-R20)),(Datos!P20-Datos!Q20+R20)/(Datos!R20-Datos!P20+Datos!Q20-R20)," - ")</f>
        <v>-3.0462557671832487E-2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1155.5999999999999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3.7475918193480524</v>
      </c>
      <c r="F22" s="550">
        <f>IF(ISNUMBER(STDEV(F8:F19)),STDEV(F8:F19),"-")</f>
        <v>1338.2979239815525</v>
      </c>
      <c r="G22" s="551">
        <f>IF(ISNUMBER(STDEV(G8:G19)),STDEV(G8:G19),"-")</f>
        <v>1304.3800443122395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1805.4403341013515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471.55593517630547</v>
      </c>
      <c r="BD22" s="550"/>
      <c r="BE22" s="550">
        <f>IF(ISNUMBER(STDEV(BE8:BE19)),STDEV(BE8:BE19),"-")</f>
        <v>0</v>
      </c>
      <c r="BF22" s="555">
        <f>IF(ISNUMBER(STDEV(BF8:BF19)),STDEV(BF8:BF19),"-")</f>
        <v>0</v>
      </c>
      <c r="BG22" s="772">
        <f>IF(ISNUMBER(STDEV(BG8:BG19)),STDEV(BG8:BG19),"-")</f>
        <v>0.15088465015871302</v>
      </c>
      <c r="BH22" s="773">
        <f>IF(ISNUMBER(STDEV(BH8:BH19)),STDEV(BH8:BH19),"-")</f>
        <v>2.5837295181844619</v>
      </c>
      <c r="BI22" s="248">
        <f>IF(ISNUMBER(STDEV(BI8:BI19)),STDEV(BI8:BI19),"-")</f>
        <v>9.4319286019862253E-2</v>
      </c>
      <c r="BJ22" s="1415" t="str">
        <f>IF(ISNUMBER(BL22/BM22),BL22/BM22," - ")</f>
        <v xml:space="preserve"> - </v>
      </c>
      <c r="BK22" s="574"/>
      <c r="BL22" s="558">
        <f>IF(ISNUMBER(STDEV(BL8:BL19)),STDEV(BL8:BL19),"-")</f>
        <v>0.78941016231649175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M5H4X0TustI/Qy5oWq6vA/e6flXDcd5du4z3U63Vwrti1eBt/yXi03WtKHnWcRfyos4VtOB9+d8QDM1f9DEyA==" saltValue="IkAyta6aFkQXIE/WrkEE1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MOSTOLES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0.24214417744916822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0.17122178989914552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yLcJAip9iQ/K5pl8byfSZFH+TEEQhW0M+T4s9Mlxg3lYA/15wutQy0tgS/ce0aPrWh/Yf4VOhqH5dgpMSvrWw==" saltValue="x/50dXJZZVNpc+/tAnMU7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MOSTOLES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Fe7Rt5QX2EfvUlcRD8a81Ucul4s1oMY5mFrVaWJm4W5Po7TAWJm2c4ect7dzM7hWE8i6a8DiDXlEezKutYJaw==" saltValue="FrC1SKq7uDVGqu8Sonqo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MOSTOLES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0.83333333333333337</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2xdnrfo8bZ2Uq3H18NMRWfRYsf44/bR8bRNEpAoW8c7h75MbOq+M2oSsFAt5CkVw+zoHOgxCP2BQvNpNrdLhg==" saltValue="N5xzl8U/eSX1hEYy5JwOu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MOSTOLES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964</v>
      </c>
      <c r="E9" s="403">
        <f t="shared" ref="E9:E13" si="0">IF(ISNUMBER(D9/B9),D9/B9," - ")</f>
        <v>137.71428571428572</v>
      </c>
      <c r="F9" s="402">
        <f>IF(ISNUMBER(Datos!N9),Datos!N9," - ")</f>
        <v>1966</v>
      </c>
      <c r="G9" s="403">
        <f t="shared" ref="G9:G13" si="1">IF(ISNUMBER(F9/B9),F9/B9," - ")</f>
        <v>280.85714285714283</v>
      </c>
      <c r="H9" s="402">
        <f>IF(ISNUMBER(Datos!O9),Datos!O9," - ")</f>
        <v>1321</v>
      </c>
      <c r="I9" s="403">
        <f>IF(ISNUMBER(H9/B9),H9/B9," - ")</f>
        <v>188.71428571428572</v>
      </c>
      <c r="BZ9" s="1181">
        <f>Datos!EZ9</f>
        <v>0</v>
      </c>
    </row>
    <row r="10" spans="1:78">
      <c r="A10" s="401" t="str">
        <f>Datos!A10</f>
        <v>Sección De Violencia sobre la Mujer del TI</v>
      </c>
      <c r="B10" s="426">
        <f>Datos!AO10</f>
        <v>2</v>
      </c>
      <c r="C10" s="409">
        <f>Datos!AQ10</f>
        <v>2</v>
      </c>
      <c r="D10" s="402">
        <f>IF(ISNUMBER(Datos!M10),Datos!M10," - ")</f>
        <v>20</v>
      </c>
      <c r="E10" s="403">
        <f>IF(ISNUMBER(D10/B10),D10/B10," - ")</f>
        <v>10</v>
      </c>
      <c r="F10" s="402">
        <f>IF(ISNUMBER(Datos!N10),Datos!N10," - ")</f>
        <v>21</v>
      </c>
      <c r="G10" s="403">
        <f>IF(ISNUMBER(F10/B10),F10/B10," - ")</f>
        <v>10.5</v>
      </c>
      <c r="H10" s="402">
        <f>IF(ISNUMBER(Datos!O10),Datos!O10," - ")</f>
        <v>12</v>
      </c>
      <c r="I10" s="403">
        <f t="shared" ref="I10:I12" si="2">IF(ISNUMBER(H10/B10),H10/B10," - ")</f>
        <v>6</v>
      </c>
      <c r="BZ10" s="1181">
        <f>Datos!EZ10</f>
        <v>0</v>
      </c>
    </row>
    <row r="11" spans="1:78">
      <c r="A11" s="401" t="str">
        <f>Datos!A11</f>
        <v xml:space="preserve">Sección de Familia, infancia e incapacidad del TI                           </v>
      </c>
      <c r="B11" s="426">
        <f>Datos!AO11</f>
        <v>3</v>
      </c>
      <c r="C11" s="409">
        <f>Datos!AQ11</f>
        <v>2</v>
      </c>
      <c r="D11" s="402">
        <f>IF(ISNUMBER(Datos!M11),Datos!M11," - ")</f>
        <v>195</v>
      </c>
      <c r="E11" s="403">
        <f t="shared" si="0"/>
        <v>65</v>
      </c>
      <c r="F11" s="402">
        <f>IF(ISNUMBER(Datos!N11),Datos!N11," - ")</f>
        <v>500</v>
      </c>
      <c r="G11" s="403">
        <f t="shared" si="1"/>
        <v>166.66666666666666</v>
      </c>
      <c r="H11" s="402">
        <f>IF(ISNUMBER(Datos!O11),Datos!O11," - ")</f>
        <v>241</v>
      </c>
      <c r="I11" s="403">
        <f t="shared" si="2"/>
        <v>80.333333333333329</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12</v>
      </c>
      <c r="C13" s="848">
        <f>Datos!AR13</f>
        <v>11</v>
      </c>
      <c r="D13" s="846">
        <f>SUBTOTAL(9,D9:D12)</f>
        <v>1179</v>
      </c>
      <c r="E13" s="847">
        <f t="shared" si="0"/>
        <v>98.25</v>
      </c>
      <c r="F13" s="846">
        <f>SUBTOTAL(9,F9:F12)</f>
        <v>2487</v>
      </c>
      <c r="G13" s="847">
        <f t="shared" si="1"/>
        <v>207.25</v>
      </c>
      <c r="H13" s="846">
        <f>SUBTOTAL(9,H9:H12)</f>
        <v>1574</v>
      </c>
      <c r="I13" s="847">
        <f>IF(ISNUMBER(H13/B13),H13/B13," - ")</f>
        <v>131.16666666666666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198</v>
      </c>
      <c r="E15" s="403">
        <f t="shared" ref="E15:E19" si="3">IF(ISNUMBER(D15/B15),D15/B15," - ")</f>
        <v>39.6</v>
      </c>
      <c r="F15" s="402">
        <f>IF(ISNUMBER(Datos!N15),Datos!N15," - ")</f>
        <v>2169</v>
      </c>
      <c r="G15" s="403">
        <f t="shared" ref="G15:G19" si="4">IF(ISNUMBER(F15/B15),F15/B15," - ")</f>
        <v>433.8</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16</v>
      </c>
      <c r="E18" s="403">
        <f>IF(ISNUMBER(D18/B18),D18/B18," - ")</f>
        <v>8</v>
      </c>
      <c r="F18" s="402">
        <f>IF(ISNUMBER(Datos!N18),Datos!N18," - ")</f>
        <v>383</v>
      </c>
      <c r="G18" s="403">
        <f>IF(ISNUMBER(F18/B18),F18/B18," - ")</f>
        <v>191.5</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214</v>
      </c>
      <c r="E19" s="847">
        <f t="shared" si="3"/>
        <v>30.571428571428573</v>
      </c>
      <c r="F19" s="846">
        <f>SUBTOTAL(9,F15:F18)</f>
        <v>2552</v>
      </c>
      <c r="G19" s="847">
        <f t="shared" si="4"/>
        <v>364.57142857142856</v>
      </c>
      <c r="H19" s="846">
        <f>SUBTOTAL(9,H15:H18)</f>
        <v>0</v>
      </c>
      <c r="I19" s="847">
        <f>IF(ISNUMBER(H19/B19),H19/B19," - ")</f>
        <v>0</v>
      </c>
      <c r="BZ19" s="1181"/>
    </row>
    <row r="20" spans="1:78" ht="14.25" thickTop="1" thickBot="1">
      <c r="A20" s="790" t="str">
        <f>Datos!A20</f>
        <v>TOTAL JURISDICCIONES</v>
      </c>
      <c r="B20" s="791">
        <f>Datos!AP20</f>
        <v>17</v>
      </c>
      <c r="C20" s="791">
        <f>Datos!AR20</f>
        <v>16</v>
      </c>
      <c r="D20" s="791">
        <f>SUBTOTAL(9,D8:D19)</f>
        <v>1393</v>
      </c>
      <c r="E20" s="792">
        <f>IF(ISNUMBER(D20/B20),D20/B20," - ")</f>
        <v>81.941176470588232</v>
      </c>
      <c r="F20" s="791">
        <f>SUBTOTAL(9,F8:F19)</f>
        <v>5039</v>
      </c>
      <c r="G20" s="792">
        <f>IF(ISNUMBER(F20/B20),F20/B20," - ")</f>
        <v>296.41176470588238</v>
      </c>
      <c r="H20" s="791">
        <f>SUBTOTAL(9,H8:H19)</f>
        <v>1574</v>
      </c>
      <c r="I20" s="792">
        <f>IF(ISNUMBER(H20/B20),H20/B20," - ")</f>
        <v>92.588235294117652</v>
      </c>
    </row>
    <row r="23" spans="1:78">
      <c r="A23" s="390" t="str">
        <f>Criterios!A4</f>
        <v>Fecha Informe: 18 jun. 2026</v>
      </c>
    </row>
    <row r="28" spans="1:78">
      <c r="A28" s="413"/>
    </row>
  </sheetData>
  <sheetProtection algorithmName="SHA-512" hashValue="0lF5uaKT5IhGfE5zG5RxSGVfEuvLwyXUPCSaznhz2TsLQxVZwCTNy28lYfVg5xltaRllj171leQ9AGw+d12xPg==" saltValue="mZNM8VvtqPB0pefppZ30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MOSTOLES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686</v>
      </c>
      <c r="C9" s="433">
        <f>IF(ISNUMBER(Datos!Q9),Datos!Q9," - ")</f>
        <v>1081</v>
      </c>
      <c r="D9" s="407">
        <f>IF(ISNUMBER(Datos!R9),Datos!R9," - ")</f>
        <v>14887</v>
      </c>
    </row>
    <row r="10" spans="1:4">
      <c r="A10" s="401" t="str">
        <f>Datos!A10</f>
        <v>Sección De Violencia sobre la Mujer del TI</v>
      </c>
      <c r="B10" s="432">
        <f>IF(ISNUMBER(Datos!P10),Datos!P10," - ")</f>
        <v>11</v>
      </c>
      <c r="C10" s="433">
        <f>IF(ISNUMBER(Datos!Q10),Datos!Q10," - ")</f>
        <v>5</v>
      </c>
      <c r="D10" s="407">
        <f>IF(ISNUMBER(Datos!R10),Datos!R10," - ")</f>
        <v>125</v>
      </c>
    </row>
    <row r="11" spans="1:4">
      <c r="A11" s="401" t="str">
        <f>Datos!A11</f>
        <v xml:space="preserve">Sección de Familia, infancia e incapacidad del TI                           </v>
      </c>
      <c r="B11" s="432">
        <f>IF(ISNUMBER(Datos!P11),Datos!P11," - ")</f>
        <v>64</v>
      </c>
      <c r="C11" s="433">
        <f>IF(ISNUMBER(Datos!Q11),Datos!Q11," - ")</f>
        <v>123</v>
      </c>
      <c r="D11" s="407">
        <f>IF(ISNUMBER(Datos!R11),Datos!R11," - ")</f>
        <v>1141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761</v>
      </c>
      <c r="C13" s="850">
        <f>SUBTOTAL(9,C9:C12)</f>
        <v>1209</v>
      </c>
      <c r="D13" s="848">
        <f>SUBTOTAL(9,D9:D12)</f>
        <v>16153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84</v>
      </c>
      <c r="C15" s="433">
        <f>IF(ISNUMBER(Datos!Q15),Datos!Q15," - ")</f>
        <v>145</v>
      </c>
      <c r="D15" s="407">
        <f>IF(ISNUMBER(Datos!R15),Datos!R15," - ")</f>
        <v>233</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6</v>
      </c>
      <c r="D18" s="407">
        <f>IF(ISNUMBER(Datos!R18),Datos!R18," - ")</f>
        <v>5</v>
      </c>
    </row>
    <row r="19" spans="1:4" ht="14.25" thickTop="1" thickBot="1">
      <c r="A19" s="845" t="str">
        <f>Datos!A19</f>
        <v>TOTAL</v>
      </c>
      <c r="B19" s="846">
        <f>SUBTOTAL(9,B15:B18)</f>
        <v>84</v>
      </c>
      <c r="C19" s="850">
        <f>SUBTOTAL(9,C15:C18)</f>
        <v>151</v>
      </c>
      <c r="D19" s="848">
        <f>SUBTOTAL(9,D15:D18)</f>
        <v>238</v>
      </c>
    </row>
    <row r="20" spans="1:4" ht="16.5" customHeight="1" thickTop="1" thickBot="1">
      <c r="A20" s="790" t="str">
        <f>Datos!A20</f>
        <v>TOTAL JURISDICCIONES</v>
      </c>
      <c r="B20" s="795">
        <f>SUBTOTAL(9,B8:B19)</f>
        <v>845</v>
      </c>
      <c r="C20" s="796">
        <f>SUBTOTAL(9,C8:C19)</f>
        <v>1360</v>
      </c>
      <c r="D20" s="797">
        <f>SUBTOTAL(9,D8:D19)</f>
        <v>16391</v>
      </c>
    </row>
    <row r="21" spans="1:4" ht="7.5" customHeight="1"/>
    <row r="22" spans="1:4" ht="6" customHeight="1"/>
    <row r="23" spans="1:4">
      <c r="A23" s="390" t="str">
        <f>Criterios!A4</f>
        <v>Fecha Informe: 18 jun. 2026</v>
      </c>
    </row>
    <row r="28" spans="1:4">
      <c r="A28" s="413"/>
    </row>
  </sheetData>
  <sheetProtection algorithmName="SHA-512" hashValue="kVgHNbLKvRHKJhdz2lCLG1Y19J+T2a8OFfJ0/pgJC0QV2K7+FALQE3jov9/eb8ftKjiLpAv30WHY4RFsjv9CSg==" saltValue="UlAfA+F5Riz0j4MN3yXf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MOSTOLES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-7.1385876526342748E-2</v>
      </c>
      <c r="C9" s="455">
        <f>IF(ISNUMBER(
   IF(J_V="SI",(Datos!J9-Datos!T9)/Datos!T9,(Datos!J9+Datos!Z9-(Datos!T9+Datos!AH9))/(Datos!T9+Datos!AH9))
     ),IF(J_V="SI",(Datos!J9-Datos!T9)/Datos!T9,(Datos!J9+Datos!Z9-(Datos!T9+Datos!AH9))/(Datos!T9+Datos!AH9))," - ")</f>
        <v>-0.54008875739644968</v>
      </c>
      <c r="D9" s="455">
        <f>IF(ISNUMBER(
   IF(J_V="SI",(Datos!K9-Datos!U9)/Datos!U9,(Datos!K9+Datos!AA9-(Datos!U9+Datos!AI9))/(Datos!U9+Datos!AI9))
     ),IF(J_V="SI",(Datos!K9-Datos!U9)/Datos!U9,(Datos!K9+Datos!AA9-(Datos!U9+Datos!AI9))/(Datos!U9+Datos!AI9))," - ")</f>
        <v>-0.34053430079155672</v>
      </c>
      <c r="E9" s="455">
        <f>IF(ISNUMBER(
   IF(J_V="SI",(Datos!L9-Datos!V9)/Datos!V9,(Datos!L9+Datos!AB9-(Datos!V9+Datos!AJ9))/(Datos!V9+Datos!AJ9))
     ),IF(J_V="SI",(Datos!L9-Datos!V9)/Datos!V9,(Datos!L9+Datos!AB9-(Datos!V9+Datos!AJ9))/(Datos!V9+Datos!AJ9))," - ")</f>
        <v>-0.1994841621665189</v>
      </c>
      <c r="F9" s="455">
        <f>IF(ISNUMBER((Datos!M9-Datos!W9)/Datos!W9),(Datos!M9-Datos!W9)/Datos!W9," - ")</f>
        <v>-0.13774597495527727</v>
      </c>
      <c r="G9" s="456">
        <f>IF(ISNUMBER((Datos!N9-Datos!X9)/Datos!X9),(Datos!N9-Datos!X9)/Datos!X9," - ")</f>
        <v>-0.46122225267196493</v>
      </c>
      <c r="H9" s="454">
        <f>IF(ISNUMBER(((NºAsuntos!G9/NºAsuntos!E9)-Datos!BD9)/Datos!BD9),((NºAsuntos!G9/NºAsuntos!E9)-Datos!BD9)/Datos!BD9," - ")</f>
        <v>0.43389775704376859</v>
      </c>
      <c r="I9" s="455">
        <f>IF(ISNUMBER(((NºAsuntos!I9/NºAsuntos!G9)-Datos!BE9)/Datos!BE9),((NºAsuntos!I9/NºAsuntos!G9)-Datos!BE9)/Datos!BE9," - ")</f>
        <v>0.21388548152593886</v>
      </c>
      <c r="J9" s="460">
        <f>IF(ISNUMBER((('Resol  Asuntos'!D9/NºAsuntos!G9)-Datos!BF9)/Datos!BF9),(('Resol  Asuntos'!D9/NºAsuntos!G9)-Datos!BF9)/Datos!BF9," - ")</f>
        <v>-0.59939998702059727</v>
      </c>
      <c r="K9" s="461">
        <f>IF(ISNUMBER((((NºAsuntos!C9+NºAsuntos!E9)/NºAsuntos!G9)-Datos!BG9)/Datos!BG9),(((NºAsuntos!C9+NºAsuntos!E9)/NºAsuntos!G9)-Datos!BG9)/Datos!BG9," - ")</f>
        <v>0.14801825896352827</v>
      </c>
    </row>
    <row r="10" spans="1:11" ht="21">
      <c r="A10" s="401" t="str">
        <f>Datos!A10</f>
        <v>Sección De Violencia sobre la Mujer del TI</v>
      </c>
      <c r="B10" s="454">
        <f>IF(ISNUMBER((Datos!I10-Datos!S10)/Datos!S10),(Datos!I10-Datos!S10)/Datos!S10," - ")</f>
        <v>0.29411764705882354</v>
      </c>
      <c r="C10" s="455">
        <f>IF(ISNUMBER((Datos!J10-Datos!T10)/Datos!T10),(Datos!J10-Datos!T10)/Datos!T10," - ")</f>
        <v>9.4339622641509441E-2</v>
      </c>
      <c r="D10" s="455">
        <f>IF(ISNUMBER((Datos!K10-Datos!U10)/Datos!U10),(Datos!K10-Datos!U10)/Datos!U10," - ")</f>
        <v>-0.16666666666666666</v>
      </c>
      <c r="E10" s="455">
        <f>IF(ISNUMBER((Datos!L10-Datos!V10)/Datos!V10),(Datos!L10-Datos!V10)/Datos!V10," - ")</f>
        <v>0.5168539325842697</v>
      </c>
      <c r="F10" s="455">
        <f>IF(ISNUMBER((Datos!M10-Datos!W10)/Datos!W10),(Datos!M10-Datos!W10)/Datos!W10," - ")</f>
        <v>-4.7619047619047616E-2</v>
      </c>
      <c r="G10" s="456">
        <f>IF(ISNUMBER((Datos!N10-Datos!X10)/Datos!X10),(Datos!N10-Datos!X10)/Datos!X10," - ")</f>
        <v>-0.44736842105263158</v>
      </c>
      <c r="H10" s="454">
        <f>IF(ISNUMBER(((NºAsuntos!G10/NºAsuntos!E10)-Datos!BD10)/Datos!BD10),((NºAsuntos!G10/NºAsuntos!E10)-Datos!BD10)/Datos!BD10," - ")</f>
        <v>-0.23850574712643674</v>
      </c>
      <c r="I10" s="455">
        <f>IF(ISNUMBER(((NºAsuntos!I10/NºAsuntos!G10)-Datos!BE10)/Datos!BE10),((NºAsuntos!I10/NºAsuntos!G10)-Datos!BE10)/Datos!BE10," - ")</f>
        <v>0.82022471910112371</v>
      </c>
      <c r="J10" s="460">
        <f>IF(ISNUMBER((('Resol  Asuntos'!D10/NºAsuntos!G10)-Datos!BF10)/Datos!BF10),(('Resol  Asuntos'!D10/NºAsuntos!G10)-Datos!BF10)/Datos!BF10," - ")</f>
        <v>0.1428571428571429</v>
      </c>
      <c r="K10" s="461">
        <f>IF(ISNUMBER((((NºAsuntos!C10+NºAsuntos!E10)/NºAsuntos!G10)-Datos!BG10)/Datos!BG10),(((NºAsuntos!C10+NºAsuntos!E10)/NºAsuntos!G10)-Datos!BG10)/Datos!BG10," - ")</f>
        <v>0.4709677419354838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-7.2226358897989576E-2</v>
      </c>
      <c r="C11" s="455">
        <f>IF(ISNUMBER(
   IF(J_V="SI",(Datos!J11-Datos!T11)/Datos!T11,(Datos!J11+Datos!Z11-(Datos!T11+Datos!AH11))/(Datos!T11+Datos!AH11))
     ),IF(J_V="SI",(Datos!J11-Datos!T11)/Datos!T11,(Datos!J11+Datos!Z11-(Datos!T11+Datos!AH11))/(Datos!T11+Datos!AH11))," - ")</f>
        <v>-0.158675799086758</v>
      </c>
      <c r="D11" s="455">
        <f>IF(ISNUMBER(
   IF(J_V="SI",(Datos!K11-Datos!U11)/Datos!U11,(Datos!K11+Datos!AA11-(Datos!U11+Datos!AI11))/(Datos!U11+Datos!AI11))
     ),IF(J_V="SI",(Datos!K11-Datos!U11)/Datos!U11,(Datos!K11+Datos!AA11-(Datos!U11+Datos!AI11))/(Datos!U11+Datos!AI11))," - ")</f>
        <v>-5.232558139534884E-2</v>
      </c>
      <c r="E11" s="455">
        <f>IF(ISNUMBER(
   IF(J_V="SI",(Datos!L11-Datos!V11)/Datos!V11,(Datos!L11+Datos!AB11-(Datos!V11+Datos!AJ11))/(Datos!V11+Datos!AJ11))
     ),IF(J_V="SI",(Datos!L11-Datos!V11)/Datos!V11,(Datos!L11+Datos!AB11-(Datos!V11+Datos!AJ11))/(Datos!V11+Datos!AJ11))," - ")</f>
        <v>-0.17439293598233996</v>
      </c>
      <c r="F11" s="455">
        <f>IF(ISNUMBER((Datos!M11-Datos!W11)/Datos!W11),(Datos!M11-Datos!W11)/Datos!W11," - ")</f>
        <v>-0.17721518987341772</v>
      </c>
      <c r="G11" s="456">
        <f>IF(ISNUMBER((Datos!N11-Datos!X11)/Datos!X11),(Datos!N11-Datos!X11)/Datos!X11," - ")</f>
        <v>-0.10873440285204991</v>
      </c>
      <c r="H11" s="454">
        <f>IF(ISNUMBER(((NºAsuntos!G11/NºAsuntos!E11)-Datos!BD11)/Datos!BD11),((NºAsuntos!G11/NºAsuntos!E11)-Datos!BD11)/Datos!BD11," - ")</f>
        <v>0.12640812849073865</v>
      </c>
      <c r="I11" s="455">
        <f>IF(ISNUMBER(((NºAsuntos!I11/NºAsuntos!G11)-Datos!BE11)/Datos!BE11),((NºAsuntos!I11/NºAsuntos!G11)-Datos!BE11)/Datos!BE11," - ")</f>
        <v>-0.12880726987093538</v>
      </c>
      <c r="J11" s="460">
        <f>IF(ISNUMBER((('Resol  Asuntos'!D11/NºAsuntos!G11)-Datos!BF11)/Datos!BF11),(('Resol  Asuntos'!D11/NºAsuntos!G11)-Datos!BF11)/Datos!BF11," - ")</f>
        <v>-0.63321413339457366</v>
      </c>
      <c r="K11" s="461">
        <f>IF(ISNUMBER((((NºAsuntos!C11+NºAsuntos!E11)/NºAsuntos!G11)-Datos!BG11)/Datos!BG11),(((NºAsuntos!C11+NºAsuntos!E11)/NºAsuntos!G11)-Datos!BG11)/Datos!BG11," - ")</f>
        <v>-5.7011808226222357E-2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-6.8637883855275153E-2</v>
      </c>
      <c r="C13" s="852">
        <f>IF(ISNUMBER(
   IF(J_V="SI",(Datos!J13-Datos!T13)/Datos!T13,(Datos!J13+Datos!Z13-(Datos!T13+Datos!AH13))/(Datos!T13+Datos!AH13))
     ),IF(J_V="SI",(Datos!J13-Datos!T13)/Datos!T13,(Datos!J13+Datos!Z13-(Datos!T13+Datos!AH13))/(Datos!T13+Datos!AH13))," - ")</f>
        <v>-0.49226167251918324</v>
      </c>
      <c r="D13" s="852">
        <f>IF(ISNUMBER(
   IF(J_V="SI",(Datos!K13-Datos!U13)/Datos!U13,(Datos!K13+Datos!AA13-(Datos!U13+Datos!AI13))/(Datos!U13+Datos!AI13))
     ),IF(J_V="SI",(Datos!K13-Datos!U13)/Datos!U13,(Datos!K13+Datos!AA13-(Datos!U13+Datos!AI13))/(Datos!U13+Datos!AI13))," - ")</f>
        <v>-0.3034334763948498</v>
      </c>
      <c r="E13" s="852">
        <f>IF(ISNUMBER(
   IF(J_V="SI",(Datos!L13-Datos!V13)/Datos!V13,(Datos!L13+Datos!AB13-(Datos!V13+Datos!AJ13))/(Datos!V13+Datos!AJ13))
     ),IF(J_V="SI",(Datos!L13-Datos!V13)/Datos!V13,(Datos!L13+Datos!AB13-(Datos!V13+Datos!AJ13))/(Datos!V13+Datos!AJ13))," - ")</f>
        <v>-0.19242150848069289</v>
      </c>
      <c r="F13" s="853">
        <f>IF(ISNUMBER((Datos!M13-Datos!W13)/Datos!W13),(Datos!M13-Datos!W13)/Datos!W13," - ")</f>
        <v>-0.1431686046511628</v>
      </c>
      <c r="G13" s="854">
        <f>IF(ISNUMBER((Datos!N13-Datos!X13)/Datos!X13),(Datos!N13-Datos!X13)/Datos!X13," - ")</f>
        <v>-0.41454802259887008</v>
      </c>
      <c r="H13" s="854">
        <f>IF(ISNUMBER(((NºAsuntos!G13/NºAsuntos!E13)-Datos!BD13)/Datos!BD13),((NºAsuntos!G13/NºAsuntos!E13)-Datos!BD13)/Datos!BD13," - ")</f>
        <v>0.37190061475409841</v>
      </c>
      <c r="I13" s="854">
        <f>IF(ISNUMBER(((NºAsuntos!I13/NºAsuntos!G13)-Datos!BE13)/Datos!BE13),((NºAsuntos!I13/NºAsuntos!G13)-Datos!BE13)/Datos!BE13," - ")</f>
        <v>0.15937023120146987</v>
      </c>
      <c r="J13" s="854">
        <f>IF(ISNUMBER((('Resol  Asuntos'!D13/NºAsuntos!G13)-Datos!BF13)/Datos!BF13),(('Resol  Asuntos'!D13/NºAsuntos!G13)-Datos!BF13)/Datos!BF13," - ")</f>
        <v>-0.59995561324280644</v>
      </c>
      <c r="K13" s="854">
        <f>IF(ISNUMBER((((NºAsuntos!C13+NºAsuntos!E13)/NºAsuntos!G13)-Datos!BG13)/Datos!BG13),(((NºAsuntos!C13+NºAsuntos!E13)/NºAsuntos!G13)-Datos!BG13)/Datos!BG13," - ")</f>
        <v>0.112746473804614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4.4124071647007428E-2</v>
      </c>
      <c r="C15" s="455">
        <f>IF(ISNUMBER(
   IF(D_I="SI",(Datos!J15-Datos!T15)/Datos!T15,(Datos!J15+Datos!AD15-(Datos!T15+Datos!AL15))/(Datos!T15+Datos!AL15))
     ),IF(D_I="SI",(Datos!J15-Datos!T15)/Datos!T15,(Datos!J15+Datos!AD15-(Datos!T15+Datos!AL15))/(Datos!T15+Datos!AL15))," - ")</f>
        <v>-0.14089157952669235</v>
      </c>
      <c r="D15" s="455">
        <f>IF(ISNUMBER(
   IF(D_I="SI",(Datos!K15-Datos!U15)/Datos!U15,(Datos!K15+Datos!AE15-(Datos!U15+Datos!AM15))/(Datos!U15+Datos!AM15))
     ),IF(D_I="SI",(Datos!K15-Datos!U15)/Datos!U15,(Datos!K15+Datos!AE15-(Datos!U15+Datos!AM15))/(Datos!U15+Datos!AM15))," - ")</f>
        <v>-0.14258911819887429</v>
      </c>
      <c r="E15" s="455">
        <f>IF(ISNUMBER(
   IF(D_I="SI",(Datos!L15-Datos!V15)/Datos!V15,(Datos!L15+Datos!AF15-(Datos!V15+Datos!AN15))/(Datos!V15+Datos!AN15))
     ),IF(D_I="SI",(Datos!L15-Datos!V15)/Datos!V15,(Datos!L15+Datos!AF15-(Datos!V15+Datos!AN15))/(Datos!V15+Datos!AN15))," - ")</f>
        <v>4.6296296296296294E-2</v>
      </c>
      <c r="F15" s="455">
        <f>IF(ISNUMBER((Datos!M15-Datos!W15)/Datos!W15),(Datos!M15-Datos!W15)/Datos!W15," - ")</f>
        <v>-0.37735849056603776</v>
      </c>
      <c r="G15" s="456">
        <f>IF(ISNUMBER((Datos!N15-Datos!X15)/Datos!X15),(Datos!N15-Datos!X15)/Datos!X15," - ")</f>
        <v>-4.6593406593406592E-2</v>
      </c>
      <c r="H15" s="454">
        <f>IF(ISNUMBER(((NºAsuntos!G15/NºAsuntos!E15)-Datos!BD15)/Datos!BD15),((NºAsuntos!G15/NºAsuntos!E15)-Datos!BD15)/Datos!BD15," - ")</f>
        <v>-1.975930664544857E-3</v>
      </c>
      <c r="I15" s="455">
        <f>IF(ISNUMBER(((NºAsuntos!I15/NºAsuntos!G15)-Datos!BE15)/Datos!BE15),((NºAsuntos!I15/NºAsuntos!G15)-Datos!BE15)/Datos!BE15," - ")</f>
        <v>0.2202974309101223</v>
      </c>
      <c r="J15" s="460">
        <f>IF(ISNUMBER((('Resol  Asuntos'!D15/NºAsuntos!G15)-Datos!BF15)/Datos!BF15),(('Resol  Asuntos'!D15/NºAsuntos!G15)-Datos!BF15)/Datos!BF15," - ")</f>
        <v>-0.27381198133850787</v>
      </c>
      <c r="K15" s="461">
        <f>IF(ISNUMBER((((NºAsuntos!C15+NºAsuntos!E15)/NºAsuntos!G15)-Datos!BG15)/Datos!BG15),(((NºAsuntos!C15+NºAsuntos!E15)/NºAsuntos!G15)-Datos!BG15)/Datos!BG15," - ")</f>
        <v>8.5371679071793313E-2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0.24829931972789115</v>
      </c>
      <c r="C18" s="455">
        <f>IF(ISNUMBER(
   IF(D_I="SI",(Datos!J18-Datos!T18)/Datos!T18,(Datos!J18+Datos!AD18-(Datos!T18+Datos!AL18))/(Datos!T18+Datos!AL18))
     ),IF(D_I="SI",(Datos!J18-Datos!T18)/Datos!T18,(Datos!J18+Datos!AD18-(Datos!T18+Datos!AL18))/(Datos!T18+Datos!AL18))," - ")</f>
        <v>0.44655581947743467</v>
      </c>
      <c r="D18" s="455">
        <f>IF(ISNUMBER(
   IF(D_I="SI",(Datos!K18-Datos!U18)/Datos!U18,(Datos!K18+Datos!AE18-(Datos!U18+Datos!AM18))/(Datos!U18+Datos!AM18))
     ),IF(D_I="SI",(Datos!K18-Datos!U18)/Datos!U18,(Datos!K18+Datos!AE18-(Datos!U18+Datos!AM18))/(Datos!U18+Datos!AM18))," - ")</f>
        <v>0.26590909090909093</v>
      </c>
      <c r="E18" s="455">
        <f>IF(ISNUMBER(
   IF(D_I="SI",(Datos!L18-Datos!V18)/Datos!V18,(Datos!L18+Datos!AF18-(Datos!V18+Datos!AN18))/(Datos!V18+Datos!AN18))
     ),IF(D_I="SI",(Datos!L18-Datos!V18)/Datos!V18,(Datos!L18+Datos!AF18-(Datos!V18+Datos!AN18))/(Datos!V18+Datos!AN18))," - ")</f>
        <v>0.46762589928057552</v>
      </c>
      <c r="F18" s="455">
        <f>IF(ISNUMBER((Datos!M18-Datos!W18)/Datos!W18),(Datos!M18-Datos!W18)/Datos!W18," - ")</f>
        <v>-5.8823529411764705E-2</v>
      </c>
      <c r="G18" s="456">
        <f>IF(ISNUMBER((Datos!N18-Datos!X18)/Datos!X18),(Datos!N18-Datos!X18)/Datos!X18," - ")</f>
        <v>0.7098214285714286</v>
      </c>
      <c r="H18" s="454">
        <f>IF(ISNUMBER(((NºAsuntos!G18/NºAsuntos!E18)-Datos!BD18)/Datos!BD18),((NºAsuntos!G18/NºAsuntos!E18)-Datos!BD18)/Datos!BD18," - ")</f>
        <v>-0.12488057919092396</v>
      </c>
      <c r="I18" s="455">
        <f>IF(ISNUMBER(((NºAsuntos!I18/NºAsuntos!G18)-Datos!BE18)/Datos!BE18),((NºAsuntos!I18/NºAsuntos!G18)-Datos!BE18)/Datos!BE18," - ")</f>
        <v>0.15934541415341688</v>
      </c>
      <c r="J18" s="460">
        <f>IF(ISNUMBER((('Resol  Asuntos'!D18/NºAsuntos!G18)-Datos!BF18)/Datos!BF18),(('Resol  Asuntos'!D18/NºAsuntos!G18)-Datos!BF18)/Datos!BF18," - ")</f>
        <v>-0.25652127996620544</v>
      </c>
      <c r="K18" s="461">
        <f>IF(ISNUMBER((((NºAsuntos!C18+NºAsuntos!E18)/NºAsuntos!G18)-Datos!BG18)/Datos!BG18),(((NºAsuntos!C18+NºAsuntos!E18)/NºAsuntos!G18)-Datos!BG18)/Datos!BG18," - ")</f>
        <v>7.8304101643419374E-2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6.7363530778164926E-2</v>
      </c>
      <c r="C19" s="852">
        <f>IF(ISNUMBER(
   IF(Criterios!B14="SI",(Datos!J19-Datos!T19)/Datos!T19,(Datos!J19+Datos!AD19-(Datos!T19+Datos!AL19))/(Datos!T19+Datos!AL19))
     ),IF(Criterios!B14="SI",(Datos!J19-Datos!T19)/Datos!T19,(Datos!J19+Datos!AD19-(Datos!T19+Datos!AL19))/(Datos!T19+Datos!AL19))," - ")</f>
        <v>-7.9901356350184957E-2</v>
      </c>
      <c r="D19" s="852">
        <f>IF(ISNUMBER(
   IF(Criterios!B14="SI",(Datos!K19-Datos!U19)/Datos!U19,(Datos!K19+Datos!AE19-(Datos!U19+Datos!AM19))/(Datos!U19+Datos!AM19))
     ),IF(Criterios!B14="SI",(Datos!K19-Datos!U19)/Datos!U19,(Datos!K19+Datos!AE19-(Datos!U19+Datos!AM19))/(Datos!U19+Datos!AM19))," - ")</f>
        <v>-9.9496523615439939E-2</v>
      </c>
      <c r="E19" s="852">
        <f>IF(ISNUMBER(
   IF(Criterios!B14="SI",(Datos!L19-Datos!V19)/Datos!V19,(Datos!L19+Datos!AF19-(Datos!V19+Datos!AN19))/(Datos!V19+Datos!AN19))
     ),IF(Criterios!B14="SI",(Datos!L19-Datos!V19)/Datos!V19,(Datos!L19+Datos!AF19-(Datos!V19+Datos!AN19))/(Datos!V19+Datos!AN19))," - ")</f>
        <v>9.2301649646504322E-2</v>
      </c>
      <c r="F19" s="853">
        <f>IF(ISNUMBER((Datos!M19-Datos!W19)/Datos!W19),(Datos!M19-Datos!W19)/Datos!W19," - ")</f>
        <v>-0.36119402985074628</v>
      </c>
      <c r="G19" s="854">
        <f>IF(ISNUMBER((Datos!N19-Datos!X19)/Datos!X19),(Datos!N19-Datos!X19)/Datos!X19," - ")</f>
        <v>2.1208483393357343E-2</v>
      </c>
      <c r="H19" s="854">
        <f>IF(ISNUMBER(((NºAsuntos!G19/NºAsuntos!E19)-Datos!BD19)/Datos!BD19),((NºAsuntos!G19/NºAsuntos!E19)-Datos!BD19)/Datos!BD19," - ")</f>
        <v>-2.1296811380490121E-2</v>
      </c>
      <c r="I19" s="854">
        <f>IF(ISNUMBER(((NºAsuntos!I19/NºAsuntos!G19)-Datos!BE19)/Datos!BE19),((NºAsuntos!I19/NºAsuntos!G19)-Datos!BE19)/Datos!BE19," - ")</f>
        <v>0.21298993095728694</v>
      </c>
      <c r="J19" s="854">
        <f>IF(ISNUMBER((('Resol  Asuntos'!D19/NºAsuntos!G19)-Datos!BF19)/Datos!BF19),(('Resol  Asuntos'!D19/NºAsuntos!G19)-Datos!BF19)/Datos!BF19," - ")</f>
        <v>-0.29061243304245543</v>
      </c>
      <c r="K19" s="854">
        <f>IF(ISNUMBER((((NºAsuntos!C19+NºAsuntos!E19)/NºAsuntos!G19)-Datos!BG19)/Datos!BG19),(((NºAsuntos!C19+NºAsuntos!E19)/NºAsuntos!G19)-Datos!BG19)/Datos!BG19," - ")</f>
        <v>8.5395956607020429E-2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-4.631806340936527E-2</v>
      </c>
      <c r="C20" s="799">
        <f>IF(ISNUMBER(
   IF(J_V="SI",(Datos!J20-Datos!T20)/Datos!T20,(Datos!J20+Datos!Z20-(Datos!T20+Datos!AH20))/(Datos!T20+Datos!AH20))
     ),IF(J_V="SI",(Datos!J20-Datos!T20)/Datos!T20,(Datos!J20+Datos!Z20-(Datos!T20+Datos!AH20))/(Datos!T20+Datos!AH20))," - ")</f>
        <v>-0.3498807901907357</v>
      </c>
      <c r="D20" s="799">
        <f>IF(ISNUMBER(
   IF(J_V="SI",(Datos!K20-Datos!U20)/Datos!U20,(Datos!K20+Datos!AA20-(Datos!U20+Datos!AI20))/(Datos!U20+Datos!AI20))
     ),IF(J_V="SI",(Datos!K20-Datos!U20)/Datos!U20,(Datos!K20+Datos!AA20-(Datos!U20+Datos!AI20))/(Datos!U20+Datos!AI20))," - ")</f>
        <v>-0.22721978317355077</v>
      </c>
      <c r="E20" s="799">
        <f>IF(ISNUMBER(
   IF(J_V="SI",(Datos!L20-Datos!V20)/Datos!V20,(Datos!L20+Datos!AB20-(Datos!V20+Datos!AJ20))/(Datos!V20+Datos!AJ20))
     ),IF(J_V="SI",(Datos!L20-Datos!V20)/Datos!V20,(Datos!L20+Datos!AB20-(Datos!V20+Datos!AJ20))/(Datos!V20+Datos!AJ20))," - ")</f>
        <v>-0.1482226693494299</v>
      </c>
      <c r="F20" s="800">
        <f>IF(ISNUMBER((Datos!M20-Datos!W20)/Datos!W20),(Datos!M20-Datos!W20)/Datos!W20," - ")</f>
        <v>-0.18585622443015781</v>
      </c>
      <c r="G20" s="801">
        <f>IF(ISNUMBER((Datos!N20-Datos!X20)/Datos!X20),(Datos!N20-Datos!X20)/Datos!X20," - ")</f>
        <v>-0.25314954794723582</v>
      </c>
      <c r="H20" s="802">
        <f>IF(ISNUMBER((Tasas!B20-Datos!BD20)/Datos!BD20),(Tasas!B20-Datos!BD20)/Datos!BD20," - ")</f>
        <v>0.18867463869152848</v>
      </c>
      <c r="I20" s="803">
        <f>IF(ISNUMBER((Tasas!C20-Datos!BE20)/Datos!BE20),(Tasas!C20-Datos!BE20)/Datos!BE20," - ")</f>
        <v>0.10222455505982757</v>
      </c>
      <c r="J20" s="804">
        <f>IF(ISNUMBER((Tasas!D20-Datos!BF20)/Datos!BF20),(Tasas!D20-Datos!BF20)/Datos!BF20," - ")</f>
        <v>-0.60521629942803457</v>
      </c>
      <c r="K20" s="804">
        <f>IF(ISNUMBER((Tasas!E20-Datos!BG20)/Datos!BG20),(Tasas!E20-Datos!BG20)/Datos!BG20," - ")</f>
        <v>6.6233176029239754E-2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Bhlg9JDsk10eCyw46rIEuJUk9oH9lXLrOct10amhzKh8G7q9mMdk+XW7ITsJfYKU+dJdYanYuP+YM3kLJUQXg==" saltValue="faN5yE7Fo9bNB9tV2AU6+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MOSTOLES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1.2862656802830492</v>
      </c>
      <c r="C9" s="442">
        <f>IF(ISNUMBER(NºAsuntos!I9/NºAsuntos!G9),NºAsuntos!I9/NºAsuntos!G9," - ")</f>
        <v>2.4836209052263065</v>
      </c>
      <c r="D9" s="443">
        <f>IF(ISNUMBER('Resol  Asuntos'!D9/NºAsuntos!G9),'Resol  Asuntos'!D9/NºAsuntos!G9," - ")</f>
        <v>0.24106026506626657</v>
      </c>
      <c r="E9" s="444">
        <f>IF(ISNUMBER((NºAsuntos!C9+NºAsuntos!E9)/NºAsuntos!G9),(NºAsuntos!C9+NºAsuntos!E9)/NºAsuntos!G9," - ")</f>
        <v>3.4968742185546389</v>
      </c>
      <c r="G9" s="462"/>
    </row>
    <row r="10" spans="1:7" ht="21">
      <c r="A10" s="401" t="str">
        <f>Datos!A10</f>
        <v>Sección De Violencia sobre la Mujer del TI</v>
      </c>
      <c r="B10" s="441">
        <f>IF(ISNUMBER(NºAsuntos!G10/NºAsuntos!E10),NºAsuntos!G10/NºAsuntos!E10," - ")</f>
        <v>0.94827586206896552</v>
      </c>
      <c r="C10" s="442">
        <f>IF(ISNUMBER(NºAsuntos!I10/NºAsuntos!G10),NºAsuntos!I10/NºAsuntos!G10," - ")</f>
        <v>2.4545454545454546</v>
      </c>
      <c r="D10" s="443">
        <f>IF(ISNUMBER('Resol  Asuntos'!D10/NºAsuntos!G10),'Resol  Asuntos'!D10/NºAsuntos!G10," - ")</f>
        <v>0.36363636363636365</v>
      </c>
      <c r="E10" s="444">
        <f>IF(ISNUMBER((NºAsuntos!C10+NºAsuntos!E10)/NºAsuntos!G10),(NºAsuntos!C10+NºAsuntos!E10)/NºAsuntos!G10," - ")</f>
        <v>3.4545454545454546</v>
      </c>
      <c r="G10" s="462"/>
    </row>
    <row r="11" spans="1:7" ht="21">
      <c r="A11" s="401" t="str">
        <f>Datos!A11</f>
        <v xml:space="preserve">Sección de Familia, infancia e incapacidad del TI                           </v>
      </c>
      <c r="B11" s="441">
        <f>IF(ISNUMBER(NºAsuntos!G11/NºAsuntos!E11),NºAsuntos!G11/NºAsuntos!E11," - ")</f>
        <v>1.1058344640434192</v>
      </c>
      <c r="C11" s="442">
        <f>IF(ISNUMBER(NºAsuntos!I11/NºAsuntos!G11),NºAsuntos!I11/NºAsuntos!G11," - ")</f>
        <v>1.3766871165644172</v>
      </c>
      <c r="D11" s="443">
        <f>IF(ISNUMBER('Resol  Asuntos'!D11/NºAsuntos!G11),'Resol  Asuntos'!D11/NºAsuntos!G11," - ")</f>
        <v>0.2392638036809816</v>
      </c>
      <c r="E11" s="444">
        <f>IF(ISNUMBER((NºAsuntos!C11+NºAsuntos!E11)/NºAsuntos!G11),(NºAsuntos!C11+NºAsuntos!E11)/NºAsuntos!G11," - ")</f>
        <v>2.4331288343558284</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1.2471823770491803</v>
      </c>
      <c r="C13" s="856">
        <f>IF(ISNUMBER(NºAsuntos!I13/NºAsuntos!G13),NºAsuntos!I13/NºAsuntos!G13," - ")</f>
        <v>2.2980078044773053</v>
      </c>
      <c r="D13" s="857">
        <f>IF(ISNUMBER('Resol  Asuntos'!D13/NºAsuntos!G13),'Resol  Asuntos'!D13/NºAsuntos!G13," - ")</f>
        <v>0.24214417744916822</v>
      </c>
      <c r="E13" s="858">
        <f>IF(ISNUMBER((NºAsuntos!C13+NºAsuntos!E13)/NºAsuntos!G13),(NºAsuntos!C13+NºAsuntos!E13)/NºAsuntos!G13," - ")</f>
        <v>3.3183405216676936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1.0246636771300448</v>
      </c>
      <c r="C15" s="442">
        <f>IF(ISNUMBER(NºAsuntos!I15/NºAsuntos!G15),NºAsuntos!I15/NºAsuntos!G15," - ")</f>
        <v>0.74179431072210067</v>
      </c>
      <c r="D15" s="443">
        <f>IF(ISNUMBER('Resol  Asuntos'!D15/NºAsuntos!G15),'Resol  Asuntos'!D15/NºAsuntos!G15," - ")</f>
        <v>6.1894341981869334E-2</v>
      </c>
      <c r="E15" s="444">
        <f>IF(ISNUMBER((NºAsuntos!C15+NºAsuntos!E15)/NºAsuntos!G15),(NºAsuntos!C15+NºAsuntos!E15)/NºAsuntos!G15," - ")</f>
        <v>1.7230384495154736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0.91461412151067323</v>
      </c>
      <c r="C18" s="442">
        <f>IF(ISNUMBER(NºAsuntos!I18/NºAsuntos!G18),NºAsuntos!I18/NºAsuntos!G18," - ")</f>
        <v>0.73249551166965887</v>
      </c>
      <c r="D18" s="443">
        <f>IF(ISNUMBER('Resol  Asuntos'!D18/NºAsuntos!G18),'Resol  Asuntos'!D18/NºAsuntos!G18," - ")</f>
        <v>2.8725314183123879E-2</v>
      </c>
      <c r="E18" s="444">
        <f>IF(ISNUMBER((NºAsuntos!C18+NºAsuntos!E18)/NºAsuntos!G18),(NºAsuntos!C18+NºAsuntos!E18)/NºAsuntos!G18," - ")</f>
        <v>1.7522441651705565</v>
      </c>
      <c r="G18" s="462"/>
    </row>
    <row r="19" spans="1:7" ht="14.25" thickTop="1" thickBot="1">
      <c r="A19" s="845" t="str">
        <f>Datos!A19</f>
        <v>TOTAL</v>
      </c>
      <c r="B19" s="855">
        <f>IF(ISNUMBER(NºAsuntos!G19/NºAsuntos!E19),NºAsuntos!G19/NºAsuntos!E19," - ")</f>
        <v>1.006700616456714</v>
      </c>
      <c r="C19" s="856">
        <f>IF(ISNUMBER(NºAsuntos!I19/NºAsuntos!G19),NºAsuntos!I19/NºAsuntos!G19," - ")</f>
        <v>0.74041533546325877</v>
      </c>
      <c r="D19" s="859">
        <f>IF(ISNUMBER('Resol  Asuntos'!D19/NºAsuntos!G19),'Resol  Asuntos'!D19/NºAsuntos!G19," - ")</f>
        <v>5.6975505857294995E-2</v>
      </c>
      <c r="E19" s="858">
        <f>IF(ISNUMBER((NºAsuntos!C19+NºAsuntos!E19)/NºAsuntos!G19),(NºAsuntos!C19+NºAsuntos!E19)/NºAsuntos!G19," - ")</f>
        <v>1.7273695420660278</v>
      </c>
      <c r="G19" s="462"/>
    </row>
    <row r="20" spans="1:7" ht="15.75" customHeight="1" thickTop="1" thickBot="1">
      <c r="A20" s="790" t="str">
        <f>Datos!A20</f>
        <v>TOTAL JURISDICCIONES</v>
      </c>
      <c r="B20" s="805">
        <f>IF(ISNUMBER(NºAsuntos!G20/NºAsuntos!E20),NºAsuntos!G20/NºAsuntos!E20," - ")</f>
        <v>1.1296660117878192</v>
      </c>
      <c r="C20" s="806">
        <f>IF(ISNUMBER(NºAsuntos!I20/NºAsuntos!G20),NºAsuntos!I20/NºAsuntos!G20," - ")</f>
        <v>1.6197101449275362</v>
      </c>
      <c r="D20" s="807">
        <f>IF(ISNUMBER('Resol  Asuntos'!D20/NºAsuntos!G20),'Resol  Asuntos'!D20/NºAsuntos!G20," - ")</f>
        <v>0.1615072463768116</v>
      </c>
      <c r="E20" s="808">
        <f>IF(ISNUMBER((NºAsuntos!C20+NºAsuntos!E20)/NºAsuntos!G20),(NºAsuntos!C20+NºAsuntos!E20)/NºAsuntos!G20," - ")</f>
        <v>2.6255072463768117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PxHOddfFFTAWEm0zU/+h4bDGxAUu9I/W3RYkHu594gLC0jIIoU3vomPzH6DBp/NBxZMGx6CfP6AHGocMyUHMA==" saltValue="H58UCDkY6OkOZpOzrR6d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MOSTOLES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1081</v>
      </c>
      <c r="Y9" s="333">
        <f>SUM(W9:X9)</f>
        <v>1081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14887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964</v>
      </c>
      <c r="AJ9" s="228" t="str">
        <f>IF(ISNUMBER(Datos!BW9),Datos!BW9," - ")</f>
        <v xml:space="preserve"> - </v>
      </c>
      <c r="AK9" s="227" t="str">
        <f>IF(ISNUMBER(Datos!BX9),Datos!BX9," - ")</f>
        <v xml:space="preserve"> - </v>
      </c>
      <c r="AL9" s="242">
        <f>IF(ISNUMBER(NºAsuntos!G9/NºAsuntos!E9),NºAsuntos!G9/NºAsuntos!E9," - ")</f>
        <v>1.2862656802830492</v>
      </c>
      <c r="AM9" s="259">
        <f>IF(ISNUMBER(((NºAsuntos!I9/NºAsuntos!G9)*11)/factor_trimestre),((NºAsuntos!I9/NºAsuntos!G9)*11)/factor_trimestre," - ")</f>
        <v>7.4508627156789196</v>
      </c>
      <c r="AN9" s="243">
        <f>IF(ISNUMBER('Resol  Asuntos'!D9/NºAsuntos!G9),'Resol  Asuntos'!D9/NºAsuntos!G9," - ")</f>
        <v>0.24106026506626657</v>
      </c>
      <c r="AO9" s="244">
        <f>IF(ISNUMBER((NºAsuntos!C9+NºAsuntos!E9)/NºAsuntos!G9),(NºAsuntos!C9+NºAsuntos!E9)/NºAsuntos!G9," - ")</f>
        <v>3.4968742185546389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132</v>
      </c>
      <c r="G10" s="332">
        <f>IF(ISNUMBER(Datos!I10),Datos!I10," - ")</f>
        <v>132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55</v>
      </c>
      <c r="X10" s="225">
        <f>IF(ISNUMBER(Datos!Q10),Datos!Q10," - ")</f>
        <v>5</v>
      </c>
      <c r="Y10" s="333">
        <f t="shared" ref="Y10:Y12" si="0">SUM(W10:X10)</f>
        <v>60</v>
      </c>
      <c r="Z10" s="334" t="str">
        <f>IF(ISNUMBER(Datos!CC10),Datos!CC10," - ")</f>
        <v xml:space="preserve"> - </v>
      </c>
      <c r="AA10" s="331">
        <f>IF(ISNUMBER(Datos!L10),Datos!L10,"-")</f>
        <v>135</v>
      </c>
      <c r="AB10" s="333">
        <f>IF(ISNUMBER(Datos!R10),Datos!R10," - ")</f>
        <v>125</v>
      </c>
      <c r="AC10" s="333">
        <f t="shared" ref="AC10:AC12" si="1">IF(ISNUMBER(AA10+AB10),AA10+AB10," - ")</f>
        <v>260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0.94827586206896552</v>
      </c>
      <c r="AM10" s="259">
        <f>IF(ISNUMBER(((NºAsuntos!I10/NºAsuntos!G10)*11)/factor_trimestre),((NºAsuntos!I10/NºAsuntos!G10)*11)/factor_trimestre," - ")</f>
        <v>7.3636363636363642</v>
      </c>
      <c r="AN10" s="243">
        <f>IF(ISNUMBER('Resol  Asuntos'!D10/NºAsuntos!G10),'Resol  Asuntos'!D10/NºAsuntos!G10," - ")</f>
        <v>0.36363636363636365</v>
      </c>
      <c r="AO10" s="244">
        <f>IF(ISNUMBER((NºAsuntos!C10+NºAsuntos!E10)/NºAsuntos!G10),(NºAsuntos!C10+NºAsuntos!E10)/NºAsuntos!G10," - ")</f>
        <v>3.4545454545454546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123</v>
      </c>
      <c r="Y11" s="333">
        <f t="shared" si="0"/>
        <v>123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1141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195</v>
      </c>
      <c r="AJ11" s="230" t="str">
        <f>IF(ISNUMBER(Datos!BW11),Datos!BW11," - ")</f>
        <v xml:space="preserve"> - </v>
      </c>
      <c r="AK11" s="231" t="str">
        <f>IF(ISNUMBER(Datos!BX11),Datos!BX11," - ")</f>
        <v xml:space="preserve"> - </v>
      </c>
      <c r="AL11" s="242">
        <f>IF(ISNUMBER(NºAsuntos!G11/NºAsuntos!E11),NºAsuntos!G11/NºAsuntos!E11," - ")</f>
        <v>1.1058344640434192</v>
      </c>
      <c r="AM11" s="259">
        <f>IF(ISNUMBER(((NºAsuntos!I11/NºAsuntos!G11)*11)/factor_trimestre),((NºAsuntos!I11/NºAsuntos!G11)*11)/factor_trimestre," - ")</f>
        <v>4.1300613496932517</v>
      </c>
      <c r="AN11" s="243">
        <f>IF(ISNUMBER('Resol  Asuntos'!D11/NºAsuntos!G11),'Resol  Asuntos'!D11/NºAsuntos!G11," - ")</f>
        <v>0.2392638036809816</v>
      </c>
      <c r="AO11" s="244">
        <f>IF(ISNUMBER((NºAsuntos!C11+NºAsuntos!E11)/NºAsuntos!G11),(NºAsuntos!C11+NºAsuntos!E11)/NºAsuntos!G11," - ")</f>
        <v>2.4331288343558284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11</v>
      </c>
      <c r="F13" s="862">
        <f t="shared" si="3"/>
        <v>132</v>
      </c>
      <c r="G13" s="863">
        <f t="shared" si="3"/>
        <v>132</v>
      </c>
      <c r="H13" s="862">
        <f t="shared" si="3"/>
        <v>0</v>
      </c>
      <c r="I13" s="864">
        <f t="shared" si="3"/>
        <v>0</v>
      </c>
      <c r="J13" s="864">
        <f t="shared" si="3"/>
        <v>0</v>
      </c>
      <c r="K13" s="864">
        <f t="shared" si="3"/>
        <v>0</v>
      </c>
      <c r="L13" s="864">
        <f t="shared" si="3"/>
        <v>761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55</v>
      </c>
      <c r="X13" s="864">
        <f t="shared" si="4"/>
        <v>1209</v>
      </c>
      <c r="Y13" s="865">
        <f t="shared" si="4"/>
        <v>1264</v>
      </c>
      <c r="Z13" s="865">
        <f t="shared" si="4"/>
        <v>0</v>
      </c>
      <c r="AA13" s="865">
        <f t="shared" si="4"/>
        <v>135</v>
      </c>
      <c r="AB13" s="865">
        <f t="shared" si="4"/>
        <v>16153</v>
      </c>
      <c r="AC13" s="865">
        <f t="shared" si="4"/>
        <v>260</v>
      </c>
      <c r="AD13" s="865">
        <f t="shared" si="4"/>
        <v>0</v>
      </c>
      <c r="AE13" s="869">
        <f t="shared" si="4"/>
        <v>0</v>
      </c>
      <c r="AF13" s="862">
        <f t="shared" si="4"/>
        <v>0</v>
      </c>
      <c r="AG13" s="870">
        <f t="shared" si="4"/>
        <v>0</v>
      </c>
      <c r="AH13" s="867">
        <f t="shared" si="4"/>
        <v>0</v>
      </c>
      <c r="AI13" s="862">
        <f t="shared" si="4"/>
        <v>1179</v>
      </c>
      <c r="AJ13" s="864">
        <f t="shared" si="4"/>
        <v>0</v>
      </c>
      <c r="AK13" s="867">
        <f>SUBTOTAL(9,AK9:AK12)</f>
        <v>0</v>
      </c>
      <c r="AL13" s="871">
        <f>IF(ISNUMBER(NºAsuntos!G13/NºAsuntos!E13),NºAsuntos!G13/NºAsuntos!E13," - ")</f>
        <v>1.2471823770491803</v>
      </c>
      <c r="AM13" s="871">
        <f>IF(ISNUMBER(((NºAsuntos!I13/NºAsuntos!G13)*11)/factor_trimestre),((NºAsuntos!I13/NºAsuntos!G13)*11)/factor_trimestre," - ")</f>
        <v>6.8940234134319169</v>
      </c>
      <c r="AN13" s="872">
        <f>IF(ISNUMBER('Resol  Asuntos'!D13/NºAsuntos!G13),'Resol  Asuntos'!D13/NºAsuntos!G13," - ")</f>
        <v>0.24214417744916822</v>
      </c>
      <c r="AO13" s="873">
        <f>IF(ISNUMBER((NºAsuntos!C13+NºAsuntos!E13)/NºAsuntos!G13),(NºAsuntos!C13+NºAsuntos!E13)/NºAsuntos!G13," - ")</f>
        <v>3.3183405216676936</v>
      </c>
      <c r="AP13" s="874" t="str">
        <f t="shared" si="2"/>
        <v xml:space="preserve"> - </v>
      </c>
      <c r="AQ13" s="874">
        <f>IF(ISNUMBER((H13-W13+K13)/(F13)),(H13-W13+K13)/(F13)," - ")</f>
        <v>-0.41666666666666669</v>
      </c>
      <c r="AR13" s="875">
        <f>IF(ISNUMBER((Datos!P13-Datos!Q13)/(Datos!R13-Datos!P13+Datos!Q13)),(Datos!P13-Datos!Q13)/(Datos!R13-Datos!P13+Datos!Q13)," - ")</f>
        <v>-2.6986326124932233E-2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2450</v>
      </c>
      <c r="G15" s="332">
        <f>IF(ISNUMBER(IF(D_I="SI",Datos!I15,Datos!I15+Datos!AC15)),IF(D_I="SI",Datos!I15,Datos!I15+Datos!AC15)," - ")</f>
        <v>2390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3199</v>
      </c>
      <c r="X15" s="225">
        <f>IF(ISNUMBER(Datos!Q15),Datos!Q15," - ")</f>
        <v>145</v>
      </c>
      <c r="Y15" s="333">
        <f>SUM(W15)</f>
        <v>3199</v>
      </c>
      <c r="Z15" s="334" t="str">
        <f>IF(ISNUMBER(Datos!CC15),Datos!CC15," - ")</f>
        <v xml:space="preserve"> - </v>
      </c>
      <c r="AA15" s="331">
        <f>IF(ISNUMBER(IF(D_I="SI",Datos!L15,Datos!L15+Datos!AF15)),IF(D_I="SI",Datos!L15,Datos!L15+Datos!AF15)," - ")</f>
        <v>2373</v>
      </c>
      <c r="AB15" s="333">
        <f>IF(ISNUMBER(Datos!R15),Datos!R15," - ")</f>
        <v>233</v>
      </c>
      <c r="AC15" s="333">
        <f t="shared" ref="AC15:AC18" si="6">IF(ISNUMBER(AA15+AB15),AA15+AB15," - ")</f>
        <v>2606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198</v>
      </c>
      <c r="AJ15" s="230" t="str">
        <f>IF(ISNUMBER(Datos!BW15),Datos!BW15," - ")</f>
        <v xml:space="preserve"> - </v>
      </c>
      <c r="AK15" s="231" t="str">
        <f>IF(ISNUMBER(Datos!BX15),Datos!BX15," - ")</f>
        <v xml:space="preserve"> - </v>
      </c>
      <c r="AL15" s="242">
        <f>IF(ISNUMBER(NºAsuntos!G15/NºAsuntos!E15),NºAsuntos!G15/NºAsuntos!E15," - ")</f>
        <v>1.0246636771300448</v>
      </c>
      <c r="AM15" s="259">
        <f>IF(ISNUMBER(((NºAsuntos!I15/NºAsuntos!G15)*11)/factor_trimestre),((NºAsuntos!I15/NºAsuntos!G15)*11)/factor_trimestre," - ")</f>
        <v>2.2253829321663021</v>
      </c>
      <c r="AN15" s="243">
        <f>IF(ISNUMBER('Resol  Asuntos'!D15/NºAsuntos!G15),'Resol  Asuntos'!D15/NºAsuntos!G15," - ")</f>
        <v>6.1894341981869334E-2</v>
      </c>
      <c r="AO15" s="244">
        <f>IF(ISNUMBER((NºAsuntos!C15+NºAsuntos!E15)/NºAsuntos!G15),(NºAsuntos!C15+NºAsuntos!E15)/NºAsuntos!G15," - ")</f>
        <v>1.7230384495154736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557</v>
      </c>
      <c r="X18" s="225">
        <f>IF(ISNUMBER(Datos!Q18),Datos!Q18," - ")</f>
        <v>6</v>
      </c>
      <c r="Y18" s="333">
        <f t="shared" si="9"/>
        <v>563</v>
      </c>
      <c r="Z18" s="334" t="str">
        <f>IF(ISNUMBER(Datos!CC18),Datos!CC18," - ")</f>
        <v xml:space="preserve"> - </v>
      </c>
      <c r="AA18" s="331">
        <f>IF(ISNUMBER(Datos!L18),Datos!L18,"-")</f>
        <v>408</v>
      </c>
      <c r="AB18" s="333">
        <f>IF(ISNUMBER(Datos!R18),Datos!R18," - ")</f>
        <v>5</v>
      </c>
      <c r="AC18" s="333">
        <f t="shared" si="6"/>
        <v>413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0.91461412151067323</v>
      </c>
      <c r="AM18" s="259">
        <f>IF(ISNUMBER(((NºAsuntos!I18/NºAsuntos!G18)*11)/factor_trimestre),((NºAsuntos!I18/NºAsuntos!G18)*11)/factor_trimestre," - ")</f>
        <v>2.1974865350089767</v>
      </c>
      <c r="AN18" s="243">
        <f>IF(ISNUMBER('Resol  Asuntos'!D18/NºAsuntos!G18),'Resol  Asuntos'!D18/NºAsuntos!G18," - ")</f>
        <v>2.8725314183123879E-2</v>
      </c>
      <c r="AO18" s="244">
        <f>IF(ISNUMBER((NºAsuntos!C18+NºAsuntos!E18)/NºAsuntos!G18),(NºAsuntos!C18+NºAsuntos!E18)/NºAsuntos!G18," - ")</f>
        <v>1.7522441651705565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2450</v>
      </c>
      <c r="G19" s="863">
        <f>SUBTOTAL(9,G15:G18)</f>
        <v>2757</v>
      </c>
      <c r="H19" s="862">
        <f t="shared" ref="H19:O19" si="12">SUBTOTAL(9,H14:H18)</f>
        <v>0</v>
      </c>
      <c r="I19" s="864">
        <f t="shared" si="12"/>
        <v>0</v>
      </c>
      <c r="J19" s="864">
        <f t="shared" si="12"/>
        <v>0</v>
      </c>
      <c r="K19" s="864">
        <f t="shared" si="12"/>
        <v>0</v>
      </c>
      <c r="L19" s="864">
        <f t="shared" si="12"/>
        <v>84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3756</v>
      </c>
      <c r="X19" s="864">
        <f t="shared" si="13"/>
        <v>151</v>
      </c>
      <c r="Y19" s="865">
        <f t="shared" si="13"/>
        <v>3762</v>
      </c>
      <c r="Z19" s="865">
        <f t="shared" si="13"/>
        <v>0</v>
      </c>
      <c r="AA19" s="865">
        <f t="shared" si="13"/>
        <v>2781</v>
      </c>
      <c r="AB19" s="865">
        <f t="shared" si="13"/>
        <v>238</v>
      </c>
      <c r="AC19" s="865">
        <f t="shared" si="13"/>
        <v>3019</v>
      </c>
      <c r="AD19" s="865">
        <f t="shared" si="13"/>
        <v>0</v>
      </c>
      <c r="AE19" s="869">
        <f t="shared" si="13"/>
        <v>0</v>
      </c>
      <c r="AF19" s="862">
        <f t="shared" si="13"/>
        <v>0</v>
      </c>
      <c r="AG19" s="870">
        <f t="shared" si="13"/>
        <v>0</v>
      </c>
      <c r="AH19" s="867">
        <f t="shared" si="13"/>
        <v>0</v>
      </c>
      <c r="AI19" s="862">
        <f t="shared" si="13"/>
        <v>214</v>
      </c>
      <c r="AJ19" s="864">
        <f t="shared" si="13"/>
        <v>0</v>
      </c>
      <c r="AK19" s="867">
        <f t="shared" si="13"/>
        <v>0</v>
      </c>
      <c r="AL19" s="871">
        <f>IF(ISNUMBER(NºAsuntos!G19/NºAsuntos!E19),NºAsuntos!G19/NºAsuntos!E19," - ")</f>
        <v>1.006700616456714</v>
      </c>
      <c r="AM19" s="871">
        <f>IF(ISNUMBER(((NºAsuntos!I19/NºAsuntos!G19)*11)/factor_trimestre),((NºAsuntos!I19/NºAsuntos!G19)*11)/factor_trimestre," - ")</f>
        <v>2.2212460063897765</v>
      </c>
      <c r="AN19" s="872">
        <f>IF(ISNUMBER('Resol  Asuntos'!D19/NºAsuntos!G19),'Resol  Asuntos'!D19/NºAsuntos!G19," - ")</f>
        <v>5.6975505857294995E-2</v>
      </c>
      <c r="AO19" s="873">
        <f>IF(ISNUMBER((NºAsuntos!C19+NºAsuntos!E19)/NºAsuntos!G19),(NºAsuntos!C19+NºAsuntos!E19)/NºAsuntos!G19," - ")</f>
        <v>1.7273695420660278</v>
      </c>
      <c r="AP19" s="874" t="str">
        <f t="shared" si="2"/>
        <v xml:space="preserve"> - </v>
      </c>
      <c r="AQ19" s="874">
        <f>IF(ISNUMBER((H19-W19+K19)/(F19)),(H19-W19+K19)/(F19)," - ")</f>
        <v>-1.5330612244897959</v>
      </c>
      <c r="AR19" s="875">
        <f>IF(ISNUMBER((Datos!P19-Datos!Q19)/(Datos!R19-Datos!P19+Datos!Q19)),(Datos!P19-Datos!Q19)/(Datos!R19-Datos!P19+Datos!Q19)," - ")</f>
        <v>-0.21967213114754097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2582</v>
      </c>
      <c r="G20" s="818">
        <f t="shared" si="15"/>
        <v>2889</v>
      </c>
      <c r="H20" s="817">
        <f t="shared" si="15"/>
        <v>0</v>
      </c>
      <c r="I20" s="819">
        <f t="shared" si="15"/>
        <v>0</v>
      </c>
      <c r="J20" s="819">
        <f t="shared" si="15"/>
        <v>0</v>
      </c>
      <c r="K20" s="878">
        <f t="shared" si="15"/>
        <v>0</v>
      </c>
      <c r="L20" s="819">
        <f t="shared" si="15"/>
        <v>845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3811</v>
      </c>
      <c r="X20" s="818">
        <f t="shared" si="16"/>
        <v>1360</v>
      </c>
      <c r="Y20" s="825">
        <f t="shared" si="16"/>
        <v>5026</v>
      </c>
      <c r="Z20" s="825">
        <f t="shared" si="16"/>
        <v>0</v>
      </c>
      <c r="AA20" s="825">
        <f t="shared" si="16"/>
        <v>2916</v>
      </c>
      <c r="AB20" s="825">
        <f t="shared" si="16"/>
        <v>16391</v>
      </c>
      <c r="AC20" s="825">
        <f t="shared" si="16"/>
        <v>3279</v>
      </c>
      <c r="AD20" s="825">
        <f t="shared" si="16"/>
        <v>0</v>
      </c>
      <c r="AE20" s="827">
        <f t="shared" si="16"/>
        <v>0</v>
      </c>
      <c r="AF20" s="828">
        <f t="shared" si="16"/>
        <v>0</v>
      </c>
      <c r="AG20" s="829">
        <f t="shared" si="16"/>
        <v>0</v>
      </c>
      <c r="AH20" s="827">
        <f t="shared" si="16"/>
        <v>0</v>
      </c>
      <c r="AI20" s="817">
        <f t="shared" si="16"/>
        <v>1393</v>
      </c>
      <c r="AJ20" s="817">
        <f t="shared" si="16"/>
        <v>0</v>
      </c>
      <c r="AK20" s="827">
        <f t="shared" si="16"/>
        <v>0</v>
      </c>
      <c r="AL20" s="881">
        <f>IF(ISNUMBER(NºAsuntos!G20/NºAsuntos!E20),NºAsuntos!G20/NºAsuntos!E20," - ")</f>
        <v>1.1296660117878192</v>
      </c>
      <c r="AM20" s="882">
        <f>IF(ISNUMBER(((NºAsuntos!I20/NºAsuntos!G20)*11)/factor_trimestre),((NºAsuntos!I20/NºAsuntos!G20)*11)/factor_trimestre," - ")</f>
        <v>4.8591304347826085</v>
      </c>
      <c r="AN20" s="882">
        <f>IF(ISNUMBER('Resol  Asuntos'!D20/NºAsuntos!G20),'Resol  Asuntos'!D20/NºAsuntos!G20," - ")</f>
        <v>0.1615072463768116</v>
      </c>
      <c r="AO20" s="883">
        <f>IF(ISNUMBER((NºAsuntos!C20+NºAsuntos!E20)/NºAsuntos!G20),(NºAsuntos!C20+NºAsuntos!E20)/NºAsuntos!G20," - ")</f>
        <v>2.6255072463768117</v>
      </c>
      <c r="AP20" s="884" t="str">
        <f t="shared" si="2"/>
        <v xml:space="preserve"> - </v>
      </c>
      <c r="AQ20" s="885">
        <f>IF(OR(ISNUMBER(FIND("01",Criterios!A8,1)),ISNUMBER(FIND("02",Criterios!A8,1)),ISNUMBER(FIND("03",Criterios!A8,1)),ISNUMBER(FIND("04",Criterios!A8,1))),(I20-W20+K20)/(F20-K20),(H20-W20+K20)/(F20-K20))</f>
        <v>-1.475987606506584</v>
      </c>
      <c r="AR20" s="886">
        <f>IF(ISNUMBER((Datos!P20-Datos!Q20)/(Datos!R20-Datos!P20+Datos!Q20)),(Datos!P20-Datos!Q20)/(Datos!R20-Datos!P20+Datos!Q20)," - ")</f>
        <v>-3.0462557671832487E-2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1155.5999999999999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3.7475918193480524</v>
      </c>
      <c r="F22" s="251">
        <f>IF(ISNUMBER(STDEV(F8:F19)),STDEV(F8:F19),"-")</f>
        <v>1338.2979239815525</v>
      </c>
      <c r="G22" s="252">
        <f>IF(ISNUMBER(STDEV(G8:G19)),STDEV(G8:G19),"-")</f>
        <v>1304.3800443122395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1805.4403341013515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471.55593517630547</v>
      </c>
      <c r="AJ22" s="251">
        <f t="shared" si="20"/>
        <v>0</v>
      </c>
      <c r="AK22" s="253">
        <f t="shared" si="20"/>
        <v>0</v>
      </c>
      <c r="AL22" s="248">
        <f t="shared" si="20"/>
        <v>0.14387581459967561</v>
      </c>
      <c r="AM22" s="249">
        <f t="shared" si="20"/>
        <v>2.5267377081503328</v>
      </c>
      <c r="AN22" s="249">
        <f t="shared" si="20"/>
        <v>0.12694746672645305</v>
      </c>
      <c r="AO22" s="250">
        <f t="shared" si="20"/>
        <v>0.84807028511358629</v>
      </c>
      <c r="AP22" s="290" t="str">
        <f t="shared" si="20"/>
        <v>-</v>
      </c>
      <c r="AQ22" s="291">
        <f t="shared" si="20"/>
        <v>0.78941016231649175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uTtO3g7IIzoMGl8e0GxNx6qAUGE2NUNt/UUdAf3pYgUNS5Wt4f/7u1ZUXHv/en5g+VpvwtuWfSEKBp190E3eA==" saltValue="MqpMGSxizM2sh8aU0DrZ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MOSTOLES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-0.13774597495527727</v>
      </c>
      <c r="I9" s="349">
        <f>IF(ISNUMBER((Tasas!C9-Datos!BE9)/Datos!BE9),(Tasas!C9-Datos!BE9)/Datos!BE9," - ")</f>
        <v>0.21388548152593886</v>
      </c>
      <c r="J9" s="348">
        <f>IF(ISNUMBER((Tasas!D9-Datos!BF9)/Datos!BF9),(Tasas!D9-Datos!BF9)/Datos!BF9," - ")</f>
        <v>-0.59939998702059727</v>
      </c>
      <c r="K9" s="350">
        <f>IF(ISNUMBER((Tasas!E9-Datos!BG9)/Datos!BG9),(Tasas!E9-Datos!BG9)/Datos!BG9," - ")</f>
        <v>0.14801825896352827</v>
      </c>
      <c r="M9" t="e">
        <f>IF(Monitorios="SI",Datos!CE9,0)</f>
        <v>#REF!</v>
      </c>
      <c r="N9" t="e">
        <f>IF(Monitorios="SI",Datos!CF9,0)</f>
        <v>#REF!</v>
      </c>
      <c r="O9" t="e">
        <f>IF(Monitorios="SI",Datos!CG9,0)</f>
        <v>#REF!</v>
      </c>
      <c r="P9" t="e">
        <f>IF(Monitorios="SI",Datos!CH9,0)</f>
        <v>#REF!</v>
      </c>
      <c r="Q9">
        <f>IF(J_V="SI",0,Datos!AG9)</f>
        <v>116</v>
      </c>
      <c r="R9">
        <f>IF(J_V="SI",0,Datos!AH9)</f>
        <v>84</v>
      </c>
      <c r="S9">
        <f>IF(J_V="SI",0,Datos!AI9)</f>
        <v>92</v>
      </c>
      <c r="T9">
        <f>IF(J_V="SI",0,Datos!AJ9)</f>
        <v>108</v>
      </c>
    </row>
    <row r="10" spans="2:20" ht="14.25">
      <c r="B10" s="274" t="s">
        <v>247</v>
      </c>
      <c r="C10" s="7" t="str">
        <f>Datos!A10</f>
        <v>Sección De Violencia sobre la Mujer del TI</v>
      </c>
      <c r="D10" s="351">
        <f>IF(ISNUMBER((Datos!I10-Datos!S10)/Datos!S10),(Datos!I10-Datos!S10)/Datos!S10," - ")</f>
        <v>0.29411764705882354</v>
      </c>
      <c r="E10" s="347">
        <f>IF(ISNUMBER((Datos!J10-Datos!T10)/Datos!T10),(Datos!J10-Datos!T10)/Datos!T10," - ")</f>
        <v>9.4339622641509441E-2</v>
      </c>
      <c r="F10" s="347">
        <f>IF(ISNUMBER((Datos!K10-Datos!U10)/Datos!U10),(Datos!K10-Datos!U10)/Datos!U10," - ")</f>
        <v>-0.16666666666666666</v>
      </c>
      <c r="G10" s="348">
        <f>IF(ISNUMBER((Datos!L10-Datos!V10)/Datos!V10),(Datos!L10-Datos!V10)/Datos!V10," - ")</f>
        <v>0.5168539325842697</v>
      </c>
      <c r="H10" s="229">
        <f>IF(ISNUMBER((Datos!M10-Datos!W10)/Datos!W10),(Datos!M10-Datos!W10)/Datos!W10," - ")</f>
        <v>-4.7619047619047616E-2</v>
      </c>
      <c r="I10" s="349">
        <f>IF(ISNUMBER((Tasas!C10-Datos!BE10)/Datos!BE10),(Tasas!C10-Datos!BE10)/Datos!BE10," - ")</f>
        <v>0.82022471910112371</v>
      </c>
      <c r="J10" s="348">
        <f>IF(ISNUMBER((Tasas!D10-Datos!BF10)/Datos!BF10),(Tasas!D10-Datos!BF10)/Datos!BF10," - ")</f>
        <v>0.1428571428571429</v>
      </c>
      <c r="K10" s="350">
        <f>IF(ISNUMBER((Tasas!E10-Datos!BG10)/Datos!BG10),(Tasas!E10-Datos!BG10)/Datos!BG10," - ")</f>
        <v>0.4709677419354838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-0.17721518987341772</v>
      </c>
      <c r="I11" s="349">
        <f>IF(ISNUMBER((Tasas!C11-Datos!BE11)/Datos!BE11),(Tasas!C11-Datos!BE11)/Datos!BE11," - ")</f>
        <v>-0.12880726987093538</v>
      </c>
      <c r="J11" s="348">
        <f>IF(ISNUMBER((Tasas!D11-Datos!BF11)/Datos!BF11),(Tasas!D11-Datos!BF11)/Datos!BF11," - ")</f>
        <v>-0.63321413339457366</v>
      </c>
      <c r="K11" s="350">
        <f>IF(ISNUMBER((Tasas!E11-Datos!BG11)/Datos!BG11),(Tasas!E11-Datos!BG11)/Datos!BG11," - ")</f>
        <v>-5.7011808226222357E-2</v>
      </c>
      <c r="M11" t="e">
        <f>IF(Monitorios="SI",Datos!CE11,0)</f>
        <v>#REF!</v>
      </c>
      <c r="N11" t="e">
        <f>IF(Monitorios="SI",Datos!CF11,0)</f>
        <v>#REF!</v>
      </c>
      <c r="O11" t="e">
        <f>IF(Monitorios="SI",Datos!CG11,0)</f>
        <v>#REF!</v>
      </c>
      <c r="P11" t="e">
        <f>IF(Monitorios="SI",Datos!CH11,0)</f>
        <v>#REF!</v>
      </c>
      <c r="Q11">
        <f>IF(J_V="SI",0,Datos!AG11)</f>
        <v>379</v>
      </c>
      <c r="R11">
        <f>IF(J_V="SI",0,Datos!AH11)</f>
        <v>388</v>
      </c>
      <c r="S11">
        <f>IF(J_V="SI",0,Datos!AI11)</f>
        <v>355</v>
      </c>
      <c r="T11">
        <f>IF(J_V="SI",0,Datos!AJ11)</f>
        <v>412</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-0.1431686046511628</v>
      </c>
      <c r="I13" s="356">
        <f>IF(ISNUMBER((Tasas!C13-Datos!BE13)/Datos!BE13),(Tasas!C13-Datos!BE13)/Datos!BE13," - ")</f>
        <v>0.15937023120146987</v>
      </c>
      <c r="J13" s="354">
        <f>IF(ISNUMBER((Tasas!D13-Datos!BF13)/Datos!BF13),(Tasas!D13-Datos!BF13)/Datos!BF13," - ")</f>
        <v>-0.59995561324280644</v>
      </c>
      <c r="K13" s="357">
        <f>IF(ISNUMBER((Tasas!E13-Datos!BG13)/Datos!BG13),(Tasas!E13-Datos!BG13)/Datos!BG13," - ")</f>
        <v>0.112746473804614</v>
      </c>
      <c r="M13" t="e">
        <f>IF(Monitorios="SI",Datos!CE13,0)</f>
        <v>#REF!</v>
      </c>
      <c r="N13" t="e">
        <f>IF(Monitorios="SI",Datos!CF13,0)</f>
        <v>#REF!</v>
      </c>
      <c r="O13" t="e">
        <f>IF(Monitorios="SI",Datos!CG13,0)</f>
        <v>#REF!</v>
      </c>
      <c r="P13" t="e">
        <f>IF(Monitorios="SI",Datos!CH13,0)</f>
        <v>#REF!</v>
      </c>
      <c r="Q13">
        <f>IF(J_V="SI",0,Datos!AG13)</f>
        <v>495</v>
      </c>
      <c r="R13">
        <f>IF(J_V="SI",0,Datos!AH13)</f>
        <v>472</v>
      </c>
      <c r="S13">
        <f>IF(J_V="SI",0,Datos!AI13)</f>
        <v>447</v>
      </c>
      <c r="T13">
        <f>IF(J_V="SI",0,Datos!AJ13)</f>
        <v>520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4.4124071647007428E-2</v>
      </c>
      <c r="E15" s="347">
        <f>IF(ISNUMBER(
   IF(D_I="SI",(Datos!J15-Datos!T15)/Datos!T15,(Datos!J15+Datos!AD15-(Datos!T15+Datos!AL15))/(Datos!T15+Datos!AL15))
     ),IF(D_I="SI",(Datos!J15-Datos!T15)/Datos!T15,(Datos!J15+Datos!AD15-(Datos!T15+Datos!AL15))/(Datos!T15+Datos!AL15))," - ")</f>
        <v>-0.14089157952669235</v>
      </c>
      <c r="F15" s="347">
        <f>IF(ISNUMBER(
   IF(D_I="SI",(Datos!K15-Datos!U15)/Datos!U15,(Datos!K15+Datos!AE15-(Datos!U15+Datos!AM15))/(Datos!U15+Datos!AM15))
     ),IF(D_I="SI",(Datos!K15-Datos!U15)/Datos!U15,(Datos!K15+Datos!AE15-(Datos!U15+Datos!AM15))/(Datos!U15+Datos!AM15))," - ")</f>
        <v>-0.14258911819887429</v>
      </c>
      <c r="G15" s="348">
        <f>IF(ISNUMBER(
   IF(D_I="SI",(Datos!L15-Datos!V15)/Datos!V15,(Datos!L15+Datos!AF15-(Datos!V15+Datos!AN15))/(Datos!V15+Datos!AN15))
     ),IF(D_I="SI",(Datos!L15-Datos!V15)/Datos!V15,(Datos!L15+Datos!AF15-(Datos!V15+Datos!AN15))/(Datos!V15+Datos!AN15))," - ")</f>
        <v>4.6296296296296294E-2</v>
      </c>
      <c r="H15" s="229">
        <f>IF(ISNUMBER((Datos!M15-Datos!W15)/Datos!W15),(Datos!M15-Datos!W15)/Datos!W15," - ")</f>
        <v>-0.37735849056603776</v>
      </c>
      <c r="I15" s="349">
        <f>IF(ISNUMBER((Tasas!C15-Datos!BE15)/Datos!BE15),(Tasas!C15-Datos!BE15)/Datos!BE15," - ")</f>
        <v>0.2202974309101223</v>
      </c>
      <c r="J15" s="348">
        <f>IF(ISNUMBER((Tasas!D15-Datos!BF15)/Datos!BF15),(Tasas!D15-Datos!BF15)/Datos!BF15," - ")</f>
        <v>-0.27381198133850787</v>
      </c>
      <c r="K15" s="350">
        <f>IF(ISNUMBER((Tasas!E15-Datos!BG15)/Datos!BG15),(Tasas!E15-Datos!BG15)/Datos!BG15," - ")</f>
        <v>8.5371679071793313E-2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0.24829931972789115</v>
      </c>
      <c r="E18" s="347">
        <f>IF(ISNUMBER(
   IF(D_I="SI",(Datos!J18-Datos!T18)/Datos!T18,(Datos!J18+Datos!AD18-(Datos!T18+Datos!AL18))/(Datos!T18+Datos!AL18))
     ),IF(D_I="SI",(Datos!J18-Datos!T18)/Datos!T18,(Datos!J18+Datos!AD18-(Datos!T18+Datos!AL18))/(Datos!T18+Datos!AL18))," - ")</f>
        <v>0.44655581947743467</v>
      </c>
      <c r="F18" s="347">
        <f>IF(ISNUMBER(
   IF(D_I="SI",(Datos!K18-Datos!U18)/Datos!U18,(Datos!K18+Datos!AE18-(Datos!U18+Datos!AM18))/(Datos!U18+Datos!AM18))
     ),IF(D_I="SI",(Datos!K18-Datos!U18)/Datos!U18,(Datos!K18+Datos!AE18-(Datos!U18+Datos!AM18))/(Datos!U18+Datos!AM18))," - ")</f>
        <v>0.26590909090909093</v>
      </c>
      <c r="G18" s="348">
        <f>IF(ISNUMBER(
   IF(D_I="SI",(Datos!L18-Datos!V18)/Datos!V18,(Datos!L18+Datos!AF18-(Datos!V18+Datos!AN18))/(Datos!V18+Datos!AN18))
     ),IF(D_I="SI",(Datos!L18-Datos!V18)/Datos!V18,(Datos!L18+Datos!AF18-(Datos!V18+Datos!AN18))/(Datos!V18+Datos!AN18))," - ")</f>
        <v>0.46762589928057552</v>
      </c>
      <c r="H18" s="229">
        <f>IF(ISNUMBER((Datos!M18-Datos!W18)/Datos!W18),(Datos!M18-Datos!W18)/Datos!W18," - ")</f>
        <v>-5.8823529411764705E-2</v>
      </c>
      <c r="I18" s="349">
        <f>IF(ISNUMBER((Tasas!C18-Datos!BE18)/Datos!BE18),(Tasas!C18-Datos!BE18)/Datos!BE18," - ")</f>
        <v>0.15934541415341688</v>
      </c>
      <c r="J18" s="348">
        <f>IF(ISNUMBER((Tasas!D18-Datos!BF18)/Datos!BF18),(Tasas!D18-Datos!BF18)/Datos!BF18," - ")</f>
        <v>-0.25652127996620544</v>
      </c>
      <c r="K18" s="350">
        <f>IF(ISNUMBER((Tasas!E18-Datos!BG18)/Datos!BG18),(Tasas!E18-Datos!BG18)/Datos!BG18," - ")</f>
        <v>7.8304101643419374E-2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6.7363530778164926E-2</v>
      </c>
      <c r="E19" s="353">
        <f>IF(ISNUMBER(
   IF(D_I="SI",(Datos!J19-Datos!T19)/Datos!T19,(Datos!J19+Datos!AD19-(Datos!T19+Datos!AL19))/(Datos!T19+Datos!AL19))
     ),IF(D_I="SI",(Datos!J19-Datos!T19)/Datos!T19,(Datos!J19+Datos!AD19-(Datos!T19+Datos!AL19))/(Datos!T19+Datos!AL19))," - ")</f>
        <v>-7.9901356350184957E-2</v>
      </c>
      <c r="F19" s="353">
        <f>IF(ISNUMBER(
   IF(D_I="SI",(Datos!K19-Datos!U19)/Datos!U19,(Datos!K19+Datos!AE19-(Datos!U19+Datos!AM19))/(Datos!U19+Datos!AM19))
     ),IF(D_I="SI",(Datos!K19-Datos!U19)/Datos!U19,(Datos!K19+Datos!AE19-(Datos!U19+Datos!AM19))/(Datos!U19+Datos!AM19))," - ")</f>
        <v>-9.9496523615439939E-2</v>
      </c>
      <c r="G19" s="354">
        <f>IF(ISNUMBER(
   IF(D_I="SI",(Datos!L19-Datos!V19)/Datos!V19,(Datos!L19+Datos!AF19-(Datos!V19+Datos!AN19))/(Datos!V19+Datos!AN19))
     ),IF(D_I="SI",(Datos!L19-Datos!V19)/Datos!V19,(Datos!L19+Datos!AF19-(Datos!V19+Datos!AN19))/(Datos!V19+Datos!AN19))," - ")</f>
        <v>9.2301649646504322E-2</v>
      </c>
      <c r="H19" s="355">
        <f>IF(ISNUMBER((Datos!M19-Datos!W19)/Datos!W19),(Datos!M19-Datos!W19)/Datos!W19," - ")</f>
        <v>-0.36119402985074628</v>
      </c>
      <c r="I19" s="356">
        <f>IF(ISNUMBER((Tasas!C19-Datos!BE19)/Datos!BE19),(Tasas!C19-Datos!BE19)/Datos!BE19," - ")</f>
        <v>0.21298993095728694</v>
      </c>
      <c r="J19" s="354">
        <f>IF(ISNUMBER((Tasas!D19-Datos!BF19)/Datos!BF19),(Tasas!D19-Datos!BF19)/Datos!BF19," - ")</f>
        <v>-0.29061243304245543</v>
      </c>
      <c r="K19" s="357">
        <f>IF(ISNUMBER((Tasas!E19-Datos!BG19)/Datos!BG19),(Tasas!E19-Datos!BG19)/Datos!BG19," - ")</f>
        <v>8.5395956607020429E-2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-4.631806340936527E-2</v>
      </c>
      <c r="E20" s="362">
        <f>IF(ISNUMBER(
   IF(J_V="SI",(Datos!J20-Datos!T20)/Datos!T20,(Datos!J20+Datos!Z20-(Datos!T20+Datos!AH20))/(Datos!T20+Datos!AH20))
     ),IF(J_V="SI",(Datos!J20-Datos!T20)/Datos!T20,(Datos!J20+Datos!Z20-(Datos!T20+Datos!AH20))/(Datos!T20+Datos!AH20))," - ")</f>
        <v>-0.3498807901907357</v>
      </c>
      <c r="F20" s="362">
        <f>IF(ISNUMBER(
   IF(J_V="SI",(Datos!K20-Datos!U20)/Datos!U20,(Datos!K20+Datos!AA20-(Datos!U20+Datos!AI20))/(Datos!U20+Datos!AI20))
     ),IF(J_V="SI",(Datos!K20-Datos!U20)/Datos!U20,(Datos!K20+Datos!AA20-(Datos!U20+Datos!AI20))/(Datos!U20+Datos!AI20))," - ")</f>
        <v>-0.22721978317355077</v>
      </c>
      <c r="G20" s="363">
        <f>IF(ISNUMBER(
   IF(J_V="SI",(Datos!L20-Datos!V20)/Datos!V20,(Datos!L20+Datos!AB20-(Datos!V20+Datos!AJ20))/(Datos!V20+Datos!AJ20))
     ),IF(J_V="SI",(Datos!L20-Datos!V20)/Datos!V20,(Datos!L20+Datos!AB20-(Datos!V20+Datos!AJ20))/(Datos!V20+Datos!AJ20))," - ")</f>
        <v>-0.1482226693494299</v>
      </c>
      <c r="H20" s="364">
        <f>IF(ISNUMBER((Datos!M20-Datos!W20)/Datos!W20),(Datos!M20-Datos!W20)/Datos!W20," - ")</f>
        <v>-0.18585622443015781</v>
      </c>
      <c r="I20" s="361">
        <f>IF(ISNUMBER((Tasas!C20-Datos!BE20)/Datos!BE20),(Tasas!C20-Datos!BE20)/Datos!BE20," - ")</f>
        <v>0.10222455505982757</v>
      </c>
      <c r="J20" s="362">
        <f>IF(ISNUMBER((Tasas!D20-Datos!BF20)/Datos!BF20),(Tasas!D20-Datos!BF20)/Datos!BF20," - ")</f>
        <v>-0.60521629942803457</v>
      </c>
      <c r="K20" s="363">
        <f>IF(ISNUMBER((Tasas!E20-Datos!BG20)/Datos!BG20),(Tasas!E20-Datos!BG20)/Datos!BG20," - ")</f>
        <v>6.6233176029239754E-2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0.1261543037412482</v>
      </c>
      <c r="E22" s="277">
        <f t="shared" si="1"/>
        <v>0.26390043868336538</v>
      </c>
      <c r="F22" s="277">
        <f t="shared" si="1"/>
        <v>0.20299063282542104</v>
      </c>
      <c r="G22" s="278">
        <f t="shared" si="1"/>
        <v>0.24572951737813414</v>
      </c>
      <c r="H22" s="284">
        <f t="shared" si="1"/>
        <v>0.13346293752006005</v>
      </c>
      <c r="I22" s="276">
        <f t="shared" si="1"/>
        <v>0.28501812152435629</v>
      </c>
      <c r="J22" s="277">
        <f t="shared" si="1"/>
        <v>0.2784901873271024</v>
      </c>
      <c r="K22" s="278">
        <f t="shared" si="1"/>
        <v>0.16252243800464777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dgZUg5Z25oMrEjWf+4IcZtTxizmuvoqP37UEMVQG7nRF/YaDQDcCOSQpmiLByqjYYoURpXkq80GVYL1w9dLXg==" saltValue="MNWfOqVvVY2zoXLY2iarw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